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835" windowHeight="7545"/>
  </bookViews>
  <sheets>
    <sheet name="2022年省级以上生态公益林效益补偿资金分配明细表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7" i="1" l="1"/>
  <c r="J27" i="1" l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T27" i="1" l="1"/>
  <c r="E27" i="1"/>
  <c r="AB19" i="1" s="1"/>
  <c r="U10" i="1"/>
  <c r="V10" i="1"/>
  <c r="W10" i="1"/>
  <c r="X10" i="1"/>
  <c r="Y10" i="1"/>
  <c r="Z10" i="1"/>
  <c r="AB7" i="1"/>
  <c r="AA7" i="1"/>
  <c r="X7" i="1"/>
  <c r="Y7" i="1"/>
  <c r="Z7" i="1"/>
  <c r="W7" i="1"/>
  <c r="V7" i="1"/>
  <c r="I13" i="1"/>
  <c r="K27" i="1"/>
  <c r="Q27" i="1"/>
  <c r="R27" i="1"/>
  <c r="R7" i="1"/>
  <c r="R16" i="1" s="1"/>
  <c r="Q7" i="1"/>
  <c r="Q12" i="1" s="1"/>
  <c r="P7" i="1"/>
  <c r="O7" i="1"/>
  <c r="O10" i="1" s="1"/>
  <c r="O27" i="1" s="1"/>
  <c r="N7" i="1"/>
  <c r="P10" i="1" s="1"/>
  <c r="P27" i="1" s="1"/>
  <c r="M7" i="1"/>
  <c r="M10" i="1" s="1"/>
  <c r="M27" i="1" s="1"/>
  <c r="L7" i="1"/>
  <c r="L10" i="1"/>
  <c r="L27" i="1" s="1"/>
  <c r="Q11" i="1"/>
  <c r="R14" i="1"/>
  <c r="R15" i="1"/>
  <c r="R17" i="1"/>
  <c r="R18" i="1"/>
  <c r="R19" i="1"/>
  <c r="R21" i="1"/>
  <c r="R22" i="1"/>
  <c r="R23" i="1"/>
  <c r="R25" i="1"/>
  <c r="R26" i="1"/>
  <c r="R13" i="1"/>
  <c r="D27" i="1"/>
  <c r="C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12" i="1"/>
  <c r="D12" i="1" s="1"/>
  <c r="E11" i="1"/>
  <c r="D11" i="1"/>
  <c r="C11" i="1"/>
  <c r="AB8" i="1"/>
  <c r="AA8" i="1"/>
  <c r="Z8" i="1"/>
  <c r="Y8" i="1"/>
  <c r="X8" i="1"/>
  <c r="W8" i="1"/>
  <c r="V8" i="1"/>
  <c r="U8" i="1" s="1"/>
  <c r="T8" i="1"/>
  <c r="R8" i="1"/>
  <c r="Q8" i="1"/>
  <c r="P8" i="1"/>
  <c r="O8" i="1"/>
  <c r="N8" i="1"/>
  <c r="M8" i="1"/>
  <c r="L8" i="1"/>
  <c r="K8" i="1"/>
  <c r="S7" i="1"/>
  <c r="I7" i="1"/>
  <c r="H7" i="1" s="1"/>
  <c r="AB17" i="1" l="1"/>
  <c r="AA11" i="1"/>
  <c r="AB18" i="1"/>
  <c r="R24" i="1"/>
  <c r="R20" i="1"/>
  <c r="N10" i="1"/>
  <c r="N27" i="1" s="1"/>
  <c r="K10" i="1"/>
  <c r="AB27" i="1" l="1"/>
  <c r="V27" i="1" l="1"/>
  <c r="W27" i="1"/>
  <c r="X27" i="1"/>
  <c r="Y27" i="1"/>
  <c r="Z27" i="1"/>
  <c r="S10" i="1"/>
  <c r="K12" i="1"/>
  <c r="I12" i="1" s="1"/>
  <c r="K16" i="1"/>
  <c r="U18" i="1"/>
  <c r="U17" i="1"/>
  <c r="S17" i="1" s="1"/>
  <c r="K13" i="1"/>
  <c r="H13" i="1" s="1"/>
  <c r="K15" i="1"/>
  <c r="K18" i="1"/>
  <c r="K19" i="1"/>
  <c r="I19" i="1" s="1"/>
  <c r="K20" i="1"/>
  <c r="K23" i="1"/>
  <c r="I23" i="1" s="1"/>
  <c r="H23" i="1" s="1"/>
  <c r="K25" i="1"/>
  <c r="I25" i="1" s="1"/>
  <c r="H25" i="1" s="1"/>
  <c r="K26" i="1"/>
  <c r="I26" i="1" s="1"/>
  <c r="H26" i="1" s="1"/>
  <c r="K11" i="1"/>
  <c r="I11" i="1" l="1"/>
  <c r="I18" i="1"/>
  <c r="I15" i="1"/>
  <c r="H15" i="1" s="1"/>
  <c r="S8" i="1"/>
  <c r="I20" i="1"/>
  <c r="H20" i="1" s="1"/>
  <c r="I16" i="1"/>
  <c r="H16" i="1" s="1"/>
  <c r="K14" i="1"/>
  <c r="I14" i="1" s="1"/>
  <c r="H14" i="1" s="1"/>
  <c r="S18" i="1"/>
  <c r="U19" i="1"/>
  <c r="S19" i="1" s="1"/>
  <c r="H19" i="1" s="1"/>
  <c r="U11" i="1"/>
  <c r="K22" i="1"/>
  <c r="I22" i="1" s="1"/>
  <c r="H22" i="1" s="1"/>
  <c r="K21" i="1"/>
  <c r="I21" i="1" s="1"/>
  <c r="H21" i="1" s="1"/>
  <c r="H12" i="1"/>
  <c r="K17" i="1"/>
  <c r="I17" i="1" s="1"/>
  <c r="H17" i="1" s="1"/>
  <c r="K24" i="1"/>
  <c r="I24" i="1" s="1"/>
  <c r="H24" i="1" s="1"/>
  <c r="H18" i="1" l="1"/>
  <c r="S11" i="1"/>
  <c r="U27" i="1"/>
  <c r="AA27" i="1"/>
  <c r="I10" i="1"/>
  <c r="I27" i="1" l="1"/>
  <c r="H10" i="1"/>
  <c r="H11" i="1"/>
  <c r="H27" i="1" s="1"/>
  <c r="S27" i="1"/>
</calcChain>
</file>

<file path=xl/sharedStrings.xml><?xml version="1.0" encoding="utf-8"?>
<sst xmlns="http://schemas.openxmlformats.org/spreadsheetml/2006/main" count="58" uniqueCount="49">
  <si>
    <r>
      <t>单</t>
    </r>
    <r>
      <rPr>
        <b/>
        <sz val="14"/>
        <color indexed="8"/>
        <rFont val="Times New Roman"/>
        <family val="1"/>
      </rPr>
      <t xml:space="preserve">  </t>
    </r>
    <r>
      <rPr>
        <b/>
        <sz val="14"/>
        <color indexed="8"/>
        <rFont val="仿宋_GB2312"/>
        <family val="3"/>
        <charset val="134"/>
      </rPr>
      <t>位</t>
    </r>
  </si>
  <si>
    <t>其中：</t>
  </si>
  <si>
    <t>下达资金合计</t>
  </si>
  <si>
    <t>特殊
区域
（增量）</t>
  </si>
  <si>
    <t>管护经费（17%）</t>
  </si>
  <si>
    <t>10%工资</t>
  </si>
  <si>
    <t>1%防火</t>
  </si>
  <si>
    <t>1%工具</t>
  </si>
  <si>
    <t>1%奖励</t>
  </si>
  <si>
    <t>1%区管理</t>
  </si>
  <si>
    <t>1.5%街道管理</t>
  </si>
  <si>
    <t>1.5%村管理</t>
  </si>
  <si>
    <t>合计</t>
  </si>
  <si>
    <t>江海区自然资源局</t>
  </si>
  <si>
    <t>外海街道</t>
  </si>
  <si>
    <t>江南街道</t>
  </si>
  <si>
    <t>金溪</t>
  </si>
  <si>
    <t>麻三</t>
  </si>
  <si>
    <t>麻二</t>
  </si>
  <si>
    <t>麻一</t>
  </si>
  <si>
    <t>南山</t>
  </si>
  <si>
    <t>东南</t>
  </si>
  <si>
    <t>外海农服</t>
  </si>
  <si>
    <t>东宁</t>
  </si>
  <si>
    <t>七西</t>
  </si>
  <si>
    <t>前进</t>
  </si>
  <si>
    <t>清兰</t>
  </si>
  <si>
    <r>
      <t>滘</t>
    </r>
    <r>
      <rPr>
        <sz val="16"/>
        <color rgb="FF000000"/>
        <rFont val="仿宋_GB2312"/>
        <family val="3"/>
        <charset val="134"/>
      </rPr>
      <t>北股份</t>
    </r>
  </si>
  <si>
    <r>
      <t>滘</t>
    </r>
    <r>
      <rPr>
        <sz val="16"/>
        <color rgb="FF000000"/>
        <rFont val="仿宋_GB2312"/>
        <family val="3"/>
        <charset val="134"/>
      </rPr>
      <t>头股份</t>
    </r>
  </si>
  <si>
    <r>
      <t>滘</t>
    </r>
    <r>
      <rPr>
        <sz val="16"/>
        <color rgb="FF000000"/>
        <rFont val="仿宋_GB2312"/>
        <family val="3"/>
        <charset val="134"/>
      </rPr>
      <t>头永星</t>
    </r>
  </si>
  <si>
    <t>省下达资金面积（亩）</t>
    <phoneticPr fontId="1" type="noConversion"/>
  </si>
  <si>
    <t>一般区域面积（亩）</t>
    <phoneticPr fontId="1" type="noConversion"/>
  </si>
  <si>
    <t>特殊区域面积（亩）</t>
    <phoneticPr fontId="1" type="noConversion"/>
  </si>
  <si>
    <t>补偿标准（元）</t>
    <phoneticPr fontId="1" type="noConversion"/>
  </si>
  <si>
    <t>小计</t>
    <phoneticPr fontId="1" type="noConversion"/>
  </si>
  <si>
    <t>小计</t>
    <phoneticPr fontId="1" type="noConversion"/>
  </si>
  <si>
    <t>特殊区域补偿资金（增量）（元）</t>
    <phoneticPr fontId="1" type="noConversion"/>
  </si>
  <si>
    <t>一般区域补偿资金（元）</t>
    <phoneticPr fontId="1" type="noConversion"/>
  </si>
  <si>
    <t>损失性补偿</t>
    <phoneticPr fontId="1" type="noConversion"/>
  </si>
  <si>
    <t>损失性补偿</t>
    <phoneticPr fontId="1" type="noConversion"/>
  </si>
  <si>
    <t>管护经费（17%）</t>
    <phoneticPr fontId="1" type="noConversion"/>
  </si>
  <si>
    <t>2022年省级以上生态公益林效益补偿资金分配明细表</t>
    <phoneticPr fontId="1" type="noConversion"/>
  </si>
  <si>
    <t>一般
区域</t>
    <phoneticPr fontId="1" type="noConversion"/>
  </si>
  <si>
    <t>小计</t>
    <phoneticPr fontId="1" type="noConversion"/>
  </si>
  <si>
    <t>小计</t>
    <phoneticPr fontId="1" type="noConversion"/>
  </si>
  <si>
    <t>下达数据</t>
    <phoneticPr fontId="1" type="noConversion"/>
  </si>
  <si>
    <t>实际数据</t>
    <phoneticPr fontId="1" type="noConversion"/>
  </si>
  <si>
    <t>说明：1.特殊区域指白水带市级森林公园。
2. 一般区域为除特殊区域外的国家级、省级生态公益林。
3.依据《广东省省级生态公益林效益补偿资金管理办法》，区域补偿资金管护经费是按17%区分配，2.5%省统筹，0.5%市统筹，实际下达资金为区分配的17%。各单位实际资金计算公式：资金*占比/17%。
4.因市统计面积最小单位为百亩，所以下达面积与实际面积不符。
5.为发放资金，以补偿资金不变，按数据面积进行发放。
6.面积统计时间为:2022年1月14日,数据为广东省森林资源信息系统导出数据。
7.一般区域补偿金额按实际亩数/6040.01*损失性补偿金额总数，特殊区域补偿金额按实际亩数/1469*损失性补偿金额总数。8.由于中央、省下达资金面积不统一，无法按省、市资金面积分解发放，经与市自然资源局沟通，按资金总额发放。</t>
    <phoneticPr fontId="1" type="noConversion"/>
  </si>
  <si>
    <t>下达文件： 《关于下达省级以上生态公益林效益补偿资金的通知》（江海财综〔2022〕14号）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</si>
</sst>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仿宋_GB2312"/>
      <family val="3"/>
      <charset val="134"/>
    </font>
    <font>
      <b/>
      <sz val="14"/>
      <name val="仿宋_GB2312"/>
      <family val="3"/>
      <charset val="134"/>
    </font>
    <font>
      <b/>
      <sz val="14"/>
      <color indexed="8"/>
      <name val="Times New Roman"/>
      <family val="1"/>
    </font>
    <font>
      <b/>
      <sz val="14"/>
      <color indexed="8"/>
      <name val="仿宋_GB2312"/>
      <family val="3"/>
      <charset val="134"/>
    </font>
    <font>
      <sz val="12"/>
      <name val="宋体"/>
      <family val="3"/>
      <charset val="134"/>
    </font>
    <font>
      <b/>
      <sz val="12"/>
      <color rgb="FF000000"/>
      <name val="仿宋_GB2312"/>
      <family val="3"/>
      <charset val="134"/>
    </font>
    <font>
      <b/>
      <sz val="14"/>
      <color theme="1"/>
      <name val="宋体"/>
      <family val="3"/>
      <charset val="134"/>
    </font>
    <font>
      <b/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sz val="28"/>
      <color theme="1"/>
      <name val="方正小标宋简体"/>
      <family val="4"/>
      <charset val="134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sz val="16"/>
      <color rgb="FF000000"/>
      <name val="仿宋_GB2312"/>
      <family val="3"/>
      <charset val="134"/>
    </font>
    <font>
      <sz val="14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6"/>
      <color theme="1"/>
      <name val="方正小标宋简体"/>
      <family val="4"/>
      <charset val="134"/>
    </font>
    <font>
      <sz val="14"/>
      <color theme="1"/>
      <name val="宋体"/>
      <family val="3"/>
      <charset val="134"/>
    </font>
    <font>
      <sz val="14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7">
    <xf numFmtId="0" fontId="0" fillId="0" borderId="0" xfId="0">
      <alignment vertical="center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76" fontId="10" fillId="0" borderId="1" xfId="0" applyNumberFormat="1" applyFont="1" applyBorder="1" applyAlignment="1">
      <alignment horizontal="center" vertical="top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top" wrapText="1"/>
    </xf>
    <xf numFmtId="176" fontId="16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8" fillId="2" borderId="12" xfId="0" applyNumberFormat="1" applyFont="1" applyFill="1" applyBorder="1" applyAlignment="1">
      <alignment horizontal="center" vertical="center" wrapText="1"/>
    </xf>
    <xf numFmtId="177" fontId="9" fillId="2" borderId="12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8" fillId="4" borderId="12" xfId="0" applyNumberFormat="1" applyFont="1" applyFill="1" applyBorder="1" applyAlignment="1">
      <alignment horizontal="center" vertical="center" wrapText="1"/>
    </xf>
    <xf numFmtId="177" fontId="9" fillId="4" borderId="12" xfId="0" applyNumberFormat="1" applyFont="1" applyFill="1" applyBorder="1" applyAlignment="1">
      <alignment horizontal="center" vertical="center" wrapText="1"/>
    </xf>
    <xf numFmtId="177" fontId="21" fillId="4" borderId="12" xfId="0" applyNumberFormat="1" applyFont="1" applyFill="1" applyBorder="1" applyAlignment="1">
      <alignment horizontal="center" vertical="center" wrapText="1"/>
    </xf>
    <xf numFmtId="177" fontId="12" fillId="4" borderId="1" xfId="0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7" fillId="0" borderId="10" xfId="0" applyNumberFormat="1" applyFont="1" applyBorder="1" applyAlignment="1">
      <alignment horizontal="center" vertical="center" wrapText="1"/>
    </xf>
    <xf numFmtId="176" fontId="17" fillId="0" borderId="11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topLeftCell="G1" zoomScale="70" zoomScaleNormal="70" workbookViewId="0">
      <selection activeCell="O16" sqref="O16"/>
    </sheetView>
  </sheetViews>
  <sheetFormatPr defaultRowHeight="13.5" x14ac:dyDescent="0.15"/>
  <cols>
    <col min="1" max="1" width="6.75" style="2" customWidth="1"/>
    <col min="2" max="2" width="15.5" style="2" customWidth="1"/>
    <col min="3" max="3" width="12.375" style="2" customWidth="1"/>
    <col min="4" max="4" width="14.125" style="2" customWidth="1"/>
    <col min="5" max="5" width="15.625" style="2" customWidth="1"/>
    <col min="6" max="6" width="17.5" style="2" customWidth="1"/>
    <col min="7" max="7" width="11.875" style="2" customWidth="1"/>
    <col min="8" max="8" width="15.5" style="2" bestFit="1" customWidth="1"/>
    <col min="9" max="10" width="17.625" style="2" bestFit="1" customWidth="1"/>
    <col min="11" max="11" width="14.125" style="2" customWidth="1"/>
    <col min="12" max="12" width="15.875" style="2" bestFit="1" customWidth="1"/>
    <col min="13" max="16" width="14.25" style="2" bestFit="1" customWidth="1"/>
    <col min="17" max="17" width="14.75" style="2" bestFit="1" customWidth="1"/>
    <col min="18" max="18" width="12.5" style="2" customWidth="1"/>
    <col min="19" max="21" width="13.75" style="2" customWidth="1"/>
    <col min="22" max="22" width="13.125" style="2" bestFit="1" customWidth="1"/>
    <col min="23" max="27" width="11.625" style="2" bestFit="1" customWidth="1"/>
    <col min="28" max="28" width="11.25" style="2" customWidth="1"/>
    <col min="29" max="16384" width="9" style="2"/>
  </cols>
  <sheetData>
    <row r="1" spans="1:28" ht="36.75" x14ac:dyDescent="0.15">
      <c r="A1" s="28" t="s">
        <v>41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45.75" customHeight="1" x14ac:dyDescent="0.15">
      <c r="A2" s="51" t="s">
        <v>48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1:28" ht="18.75" customHeight="1" x14ac:dyDescent="0.15">
      <c r="A3" s="59" t="s">
        <v>0</v>
      </c>
      <c r="B3" s="60"/>
      <c r="C3" s="40" t="s">
        <v>30</v>
      </c>
      <c r="D3" s="39" t="s">
        <v>1</v>
      </c>
      <c r="E3" s="39"/>
      <c r="F3" s="39" t="s">
        <v>33</v>
      </c>
      <c r="G3" s="39"/>
      <c r="H3" s="39" t="s">
        <v>2</v>
      </c>
      <c r="I3" s="54" t="s">
        <v>37</v>
      </c>
      <c r="J3" s="55"/>
      <c r="K3" s="55"/>
      <c r="L3" s="55"/>
      <c r="M3" s="55"/>
      <c r="N3" s="55"/>
      <c r="O3" s="55"/>
      <c r="P3" s="55"/>
      <c r="Q3" s="55"/>
      <c r="R3" s="56"/>
      <c r="S3" s="46" t="s">
        <v>36</v>
      </c>
      <c r="T3" s="46"/>
      <c r="U3" s="46"/>
      <c r="V3" s="46"/>
      <c r="W3" s="46"/>
      <c r="X3" s="46"/>
      <c r="Y3" s="46"/>
      <c r="Z3" s="46"/>
      <c r="AA3" s="46"/>
      <c r="AB3" s="46"/>
    </row>
    <row r="4" spans="1:28" ht="18.75" customHeight="1" x14ac:dyDescent="0.15">
      <c r="A4" s="61"/>
      <c r="B4" s="62"/>
      <c r="C4" s="41"/>
      <c r="D4" s="39" t="s">
        <v>31</v>
      </c>
      <c r="E4" s="39" t="s">
        <v>32</v>
      </c>
      <c r="F4" s="39" t="s">
        <v>42</v>
      </c>
      <c r="G4" s="39" t="s">
        <v>3</v>
      </c>
      <c r="H4" s="39"/>
      <c r="I4" s="40" t="s">
        <v>34</v>
      </c>
      <c r="J4" s="39" t="s">
        <v>38</v>
      </c>
      <c r="K4" s="59" t="s">
        <v>40</v>
      </c>
      <c r="L4" s="68"/>
      <c r="M4" s="68"/>
      <c r="N4" s="68"/>
      <c r="O4" s="68"/>
      <c r="P4" s="68"/>
      <c r="Q4" s="68"/>
      <c r="R4" s="60"/>
      <c r="S4" s="43" t="s">
        <v>35</v>
      </c>
      <c r="T4" s="43" t="s">
        <v>39</v>
      </c>
      <c r="U4" s="70" t="s">
        <v>4</v>
      </c>
      <c r="V4" s="71"/>
      <c r="W4" s="71"/>
      <c r="X4" s="71"/>
      <c r="Y4" s="71"/>
      <c r="Z4" s="71"/>
      <c r="AA4" s="71"/>
      <c r="AB4" s="72"/>
    </row>
    <row r="5" spans="1:28" ht="18.75" customHeight="1" x14ac:dyDescent="0.15">
      <c r="A5" s="61"/>
      <c r="B5" s="62"/>
      <c r="C5" s="41"/>
      <c r="D5" s="39"/>
      <c r="E5" s="39"/>
      <c r="F5" s="39"/>
      <c r="G5" s="39"/>
      <c r="H5" s="39"/>
      <c r="I5" s="41"/>
      <c r="J5" s="39"/>
      <c r="K5" s="61"/>
      <c r="L5" s="69"/>
      <c r="M5" s="69"/>
      <c r="N5" s="69"/>
      <c r="O5" s="69"/>
      <c r="P5" s="69"/>
      <c r="Q5" s="69"/>
      <c r="R5" s="62"/>
      <c r="S5" s="44"/>
      <c r="T5" s="44"/>
      <c r="U5" s="73"/>
      <c r="V5" s="74"/>
      <c r="W5" s="74"/>
      <c r="X5" s="74"/>
      <c r="Y5" s="74"/>
      <c r="Z5" s="74"/>
      <c r="AA5" s="74"/>
      <c r="AB5" s="75"/>
    </row>
    <row r="6" spans="1:28" ht="28.5" x14ac:dyDescent="0.15">
      <c r="A6" s="63"/>
      <c r="B6" s="64"/>
      <c r="C6" s="42"/>
      <c r="D6" s="39"/>
      <c r="E6" s="39"/>
      <c r="F6" s="39"/>
      <c r="G6" s="39"/>
      <c r="H6" s="39"/>
      <c r="I6" s="42"/>
      <c r="J6" s="39"/>
      <c r="K6" s="13" t="s">
        <v>43</v>
      </c>
      <c r="L6" s="1" t="s">
        <v>5</v>
      </c>
      <c r="M6" s="1" t="s">
        <v>6</v>
      </c>
      <c r="N6" s="1" t="s">
        <v>7</v>
      </c>
      <c r="O6" s="1" t="s">
        <v>8</v>
      </c>
      <c r="P6" s="1" t="s">
        <v>9</v>
      </c>
      <c r="Q6" s="1" t="s">
        <v>10</v>
      </c>
      <c r="R6" s="1" t="s">
        <v>11</v>
      </c>
      <c r="S6" s="45"/>
      <c r="T6" s="45"/>
      <c r="U6" s="14" t="s">
        <v>44</v>
      </c>
      <c r="V6" s="1" t="s">
        <v>5</v>
      </c>
      <c r="W6" s="1" t="s">
        <v>6</v>
      </c>
      <c r="X6" s="1" t="s">
        <v>7</v>
      </c>
      <c r="Y6" s="1" t="s">
        <v>8</v>
      </c>
      <c r="Z6" s="1" t="s">
        <v>9</v>
      </c>
      <c r="AA6" s="1" t="s">
        <v>10</v>
      </c>
      <c r="AB6" s="1" t="s">
        <v>11</v>
      </c>
    </row>
    <row r="7" spans="1:28" s="20" customFormat="1" ht="24" customHeight="1" x14ac:dyDescent="0.15">
      <c r="A7" s="49" t="s">
        <v>45</v>
      </c>
      <c r="B7" s="50"/>
      <c r="C7" s="15">
        <v>7500</v>
      </c>
      <c r="D7" s="15">
        <v>6000</v>
      </c>
      <c r="E7" s="16">
        <v>1500</v>
      </c>
      <c r="F7" s="15">
        <v>37</v>
      </c>
      <c r="G7" s="15">
        <v>12.4</v>
      </c>
      <c r="H7" s="15">
        <f>I7+S7</f>
        <v>175200</v>
      </c>
      <c r="I7" s="15">
        <f>J7+K7</f>
        <v>157200</v>
      </c>
      <c r="J7" s="15">
        <v>110000</v>
      </c>
      <c r="K7" s="15">
        <v>47200</v>
      </c>
      <c r="L7" s="15">
        <f>K7/17*10</f>
        <v>27764.705882352941</v>
      </c>
      <c r="M7" s="15">
        <f>K7/17*1</f>
        <v>2776.4705882352941</v>
      </c>
      <c r="N7" s="15">
        <f>K7/17*1</f>
        <v>2776.4705882352941</v>
      </c>
      <c r="O7" s="15">
        <f>K7/17*1</f>
        <v>2776.4705882352941</v>
      </c>
      <c r="P7" s="15">
        <f>K7/17*1</f>
        <v>2776.4705882352941</v>
      </c>
      <c r="Q7" s="15">
        <f>K7/17*1.5</f>
        <v>4164.7058823529414</v>
      </c>
      <c r="R7" s="15">
        <f>K7/17*1.5</f>
        <v>4164.7058823529414</v>
      </c>
      <c r="S7" s="15">
        <f>SUM(T7:U7)</f>
        <v>18000</v>
      </c>
      <c r="T7" s="15">
        <v>14800</v>
      </c>
      <c r="U7" s="17">
        <v>3200</v>
      </c>
      <c r="V7" s="18">
        <f>3200/17*10</f>
        <v>1882.3529411764707</v>
      </c>
      <c r="W7" s="18">
        <f>3200/17*1</f>
        <v>188.23529411764707</v>
      </c>
      <c r="X7" s="18">
        <f t="shared" ref="X7:Z7" si="0">3200/17*1</f>
        <v>188.23529411764707</v>
      </c>
      <c r="Y7" s="18">
        <f t="shared" si="0"/>
        <v>188.23529411764707</v>
      </c>
      <c r="Z7" s="18">
        <f t="shared" si="0"/>
        <v>188.23529411764707</v>
      </c>
      <c r="AA7" s="19">
        <f>3200/17*1.5</f>
        <v>282.35294117647061</v>
      </c>
      <c r="AB7" s="19">
        <f>3200/17*1.5</f>
        <v>282.35294117647061</v>
      </c>
    </row>
    <row r="8" spans="1:28" s="26" customFormat="1" ht="24" hidden="1" customHeight="1" x14ac:dyDescent="0.15">
      <c r="A8" s="65" t="s">
        <v>46</v>
      </c>
      <c r="B8" s="67"/>
      <c r="C8" s="21"/>
      <c r="D8" s="21"/>
      <c r="E8" s="22"/>
      <c r="F8" s="21"/>
      <c r="G8" s="21"/>
      <c r="H8" s="21"/>
      <c r="I8" s="21"/>
      <c r="J8" s="21"/>
      <c r="K8" s="23">
        <f>37*0.17*7509.01</f>
        <v>47231.672900000005</v>
      </c>
      <c r="L8" s="24">
        <f>37*0.17/17*10*7509.01</f>
        <v>27783.337000000003</v>
      </c>
      <c r="M8" s="24">
        <f>37*0.17/17*1*7509.01</f>
        <v>2778.3337000000001</v>
      </c>
      <c r="N8" s="24">
        <f>37*0.17/17*1*7509.01</f>
        <v>2778.3337000000001</v>
      </c>
      <c r="O8" s="24">
        <f>37*0.17/17*1*7509.01</f>
        <v>2778.3337000000001</v>
      </c>
      <c r="P8" s="24">
        <f>37*0.17/17*1*7509.01</f>
        <v>2778.3337000000001</v>
      </c>
      <c r="Q8" s="24">
        <f>37*0.17/17*1.5*7509.01</f>
        <v>4167.5005499999997</v>
      </c>
      <c r="R8" s="24">
        <f>37*0.17/17*1.5*7509.01</f>
        <v>4167.5005499999997</v>
      </c>
      <c r="S8" s="21">
        <f>U8+T27</f>
        <v>17896.651999999998</v>
      </c>
      <c r="T8" s="21">
        <f>12.4*0.8*1469</f>
        <v>14572.480000000003</v>
      </c>
      <c r="U8" s="23">
        <f>SUM(V8:AB8)</f>
        <v>3096.6519999999996</v>
      </c>
      <c r="V8" s="25">
        <f>12.4*0.17/17*10*1469</f>
        <v>1821.56</v>
      </c>
      <c r="W8" s="25">
        <f>12.4*0.17/17*1*1469</f>
        <v>182.15600000000001</v>
      </c>
      <c r="X8" s="25">
        <f t="shared" ref="X8:Z8" si="1">12.4*0.17/17*1*1469</f>
        <v>182.15600000000001</v>
      </c>
      <c r="Y8" s="25">
        <f t="shared" si="1"/>
        <v>182.15600000000001</v>
      </c>
      <c r="Z8" s="25">
        <f t="shared" si="1"/>
        <v>182.15600000000001</v>
      </c>
      <c r="AA8" s="25">
        <f>12.4*0.17/17*1.5*1469</f>
        <v>273.23399999999998</v>
      </c>
      <c r="AB8" s="25">
        <f>12.4*0.17/17*1.5*1469</f>
        <v>273.23399999999998</v>
      </c>
    </row>
    <row r="9" spans="1:28" s="26" customFormat="1" ht="9" customHeight="1" x14ac:dyDescent="0.1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7"/>
    </row>
    <row r="10" spans="1:28" ht="33.75" customHeight="1" x14ac:dyDescent="0.15">
      <c r="A10" s="47" t="s">
        <v>13</v>
      </c>
      <c r="B10" s="48"/>
      <c r="C10" s="6"/>
      <c r="D10" s="6"/>
      <c r="E10" s="6"/>
      <c r="F10" s="6"/>
      <c r="G10" s="6"/>
      <c r="H10" s="12">
        <f>I10+S10</f>
        <v>41505.882352941175</v>
      </c>
      <c r="I10" s="7">
        <f>J10+K10</f>
        <v>38870.588235294119</v>
      </c>
      <c r="J10" s="10"/>
      <c r="K10" s="7">
        <f>SUM(L10:R10)</f>
        <v>38870.588235294119</v>
      </c>
      <c r="L10" s="7">
        <f t="shared" ref="L10:O10" si="2">L7</f>
        <v>27764.705882352941</v>
      </c>
      <c r="M10" s="7">
        <f t="shared" si="2"/>
        <v>2776.4705882352941</v>
      </c>
      <c r="N10" s="7">
        <f t="shared" si="2"/>
        <v>2776.4705882352941</v>
      </c>
      <c r="O10" s="7">
        <f t="shared" si="2"/>
        <v>2776.4705882352941</v>
      </c>
      <c r="P10" s="7">
        <f>P7</f>
        <v>2776.4705882352941</v>
      </c>
      <c r="Q10" s="7"/>
      <c r="R10" s="7"/>
      <c r="S10" s="7">
        <f>T10+U10</f>
        <v>2635.2941176470586</v>
      </c>
      <c r="T10" s="7"/>
      <c r="U10" s="7">
        <f>SUM(V10:AB10)</f>
        <v>2635.2941176470586</v>
      </c>
      <c r="V10" s="4">
        <f t="shared" ref="V10:Y10" si="3">V7</f>
        <v>1882.3529411764707</v>
      </c>
      <c r="W10" s="4">
        <f t="shared" si="3"/>
        <v>188.23529411764707</v>
      </c>
      <c r="X10" s="4">
        <f t="shared" si="3"/>
        <v>188.23529411764707</v>
      </c>
      <c r="Y10" s="4">
        <f t="shared" si="3"/>
        <v>188.23529411764707</v>
      </c>
      <c r="Z10" s="4">
        <f>Z7</f>
        <v>188.23529411764707</v>
      </c>
      <c r="AA10" s="7"/>
      <c r="AB10" s="7"/>
    </row>
    <row r="11" spans="1:28" ht="37.5" customHeight="1" x14ac:dyDescent="0.15">
      <c r="A11" s="47" t="s">
        <v>14</v>
      </c>
      <c r="B11" s="48"/>
      <c r="C11" s="27">
        <f>SUM(C16:C26)</f>
        <v>5910.1664999999985</v>
      </c>
      <c r="D11" s="27">
        <f>C11-E11</f>
        <v>4441.1624999999985</v>
      </c>
      <c r="E11" s="7">
        <f>SUM(E17:E19)</f>
        <v>1469.0039999999999</v>
      </c>
      <c r="F11" s="6"/>
      <c r="G11" s="6"/>
      <c r="H11" s="12">
        <f>I11+S11</f>
        <v>3344.6219752070915</v>
      </c>
      <c r="I11" s="7">
        <f>J11+K11</f>
        <v>3062.2690340306208</v>
      </c>
      <c r="J11" s="7"/>
      <c r="K11" s="7">
        <f>SUM(L11:R11)</f>
        <v>3062.2690340306208</v>
      </c>
      <c r="L11" s="7"/>
      <c r="M11" s="7"/>
      <c r="N11" s="7"/>
      <c r="O11" s="7"/>
      <c r="P11" s="7"/>
      <c r="Q11" s="7">
        <f>Q7*D11/D27</f>
        <v>3062.2690340306208</v>
      </c>
      <c r="R11" s="7"/>
      <c r="S11" s="7">
        <f t="shared" ref="S11:S19" si="4">T11+U11</f>
        <v>282.35294117647061</v>
      </c>
      <c r="T11" s="7"/>
      <c r="U11" s="7">
        <f t="shared" ref="U11:U19" si="5">SUM(V11:AB11)</f>
        <v>282.35294117647061</v>
      </c>
      <c r="V11" s="6"/>
      <c r="W11" s="6"/>
      <c r="X11" s="6"/>
      <c r="Y11" s="6"/>
      <c r="Z11" s="6"/>
      <c r="AA11" s="4">
        <f>AA7*E11/E27</f>
        <v>282.35294117647061</v>
      </c>
      <c r="AB11" s="6"/>
    </row>
    <row r="12" spans="1:28" ht="37.5" customHeight="1" x14ac:dyDescent="0.15">
      <c r="A12" s="47" t="s">
        <v>15</v>
      </c>
      <c r="B12" s="48"/>
      <c r="C12" s="27">
        <f>C13+C14+C15</f>
        <v>1598.8475000000001</v>
      </c>
      <c r="D12" s="27">
        <f t="shared" ref="D12:D26" si="6">C12-E12</f>
        <v>1598.8475000000001</v>
      </c>
      <c r="E12" s="6"/>
      <c r="F12" s="6"/>
      <c r="G12" s="6"/>
      <c r="H12" s="12">
        <f t="shared" ref="H12:H26" si="7">I12+S12</f>
        <v>1102.43684832232</v>
      </c>
      <c r="I12" s="7">
        <f t="shared" ref="I12:I26" si="8">J12+K12</f>
        <v>1102.43684832232</v>
      </c>
      <c r="J12" s="7"/>
      <c r="K12" s="7">
        <f t="shared" ref="K12:K26" si="9">SUM(L12:R12)</f>
        <v>1102.43684832232</v>
      </c>
      <c r="L12" s="7"/>
      <c r="M12" s="7"/>
      <c r="N12" s="7"/>
      <c r="O12" s="7"/>
      <c r="P12" s="7"/>
      <c r="Q12" s="7">
        <f>Q7*D12/D27</f>
        <v>1102.43684832232</v>
      </c>
      <c r="R12" s="7"/>
      <c r="S12" s="7"/>
      <c r="T12" s="7"/>
      <c r="U12" s="7"/>
      <c r="V12" s="6"/>
      <c r="W12" s="6"/>
      <c r="X12" s="6"/>
      <c r="Y12" s="6"/>
      <c r="Z12" s="6"/>
      <c r="AA12" s="4"/>
      <c r="AB12" s="6"/>
    </row>
    <row r="13" spans="1:28" ht="20.25" x14ac:dyDescent="0.15">
      <c r="A13" s="58" t="s">
        <v>15</v>
      </c>
      <c r="B13" s="8" t="s">
        <v>27</v>
      </c>
      <c r="C13" s="27">
        <v>1355.096</v>
      </c>
      <c r="D13" s="27">
        <f t="shared" si="6"/>
        <v>1355.096</v>
      </c>
      <c r="E13" s="6"/>
      <c r="F13" s="5">
        <v>37</v>
      </c>
      <c r="G13" s="11">
        <v>12.4</v>
      </c>
      <c r="H13" s="12">
        <f t="shared" si="7"/>
        <v>25613.225190414083</v>
      </c>
      <c r="I13" s="7">
        <f>J13+K13</f>
        <v>25613.225190414083</v>
      </c>
      <c r="J13" s="7">
        <f>J$7*D13/D$27</f>
        <v>24678.85980321225</v>
      </c>
      <c r="K13" s="7">
        <f t="shared" si="9"/>
        <v>934.36538720183273</v>
      </c>
      <c r="L13" s="7"/>
      <c r="M13" s="7"/>
      <c r="N13" s="7"/>
      <c r="O13" s="7"/>
      <c r="P13" s="7"/>
      <c r="Q13" s="7"/>
      <c r="R13" s="7">
        <f>$R$7*D13/$D$27</f>
        <v>934.36538720183273</v>
      </c>
      <c r="S13" s="7"/>
      <c r="T13" s="7"/>
      <c r="U13" s="7"/>
      <c r="V13" s="6"/>
      <c r="W13" s="6"/>
      <c r="X13" s="6"/>
      <c r="Y13" s="6"/>
      <c r="Z13" s="6"/>
      <c r="AA13" s="6"/>
      <c r="AB13" s="7"/>
    </row>
    <row r="14" spans="1:28" ht="20.25" x14ac:dyDescent="0.15">
      <c r="A14" s="57"/>
      <c r="B14" s="8" t="s">
        <v>28</v>
      </c>
      <c r="C14" s="27">
        <v>241.9545</v>
      </c>
      <c r="D14" s="27">
        <f t="shared" si="6"/>
        <v>241.9545</v>
      </c>
      <c r="E14" s="6"/>
      <c r="F14" s="5">
        <v>37</v>
      </c>
      <c r="G14" s="11">
        <v>12.4</v>
      </c>
      <c r="H14" s="12">
        <f t="shared" si="7"/>
        <v>4573.2812246025705</v>
      </c>
      <c r="I14" s="7">
        <f t="shared" si="8"/>
        <v>4573.2812246025705</v>
      </c>
      <c r="J14" s="7">
        <f t="shared" ref="J14:J26" si="10">J$7*D14/D$27</f>
        <v>4406.448830382732</v>
      </c>
      <c r="K14" s="7">
        <f t="shared" si="9"/>
        <v>166.83239421983819</v>
      </c>
      <c r="L14" s="7"/>
      <c r="M14" s="7"/>
      <c r="N14" s="7"/>
      <c r="O14" s="7"/>
      <c r="P14" s="7"/>
      <c r="Q14" s="7"/>
      <c r="R14" s="7">
        <f t="shared" ref="R14:R26" si="11">$R$7*D14/$D$27</f>
        <v>166.83239421983819</v>
      </c>
      <c r="S14" s="7"/>
      <c r="T14" s="7"/>
      <c r="U14" s="7"/>
      <c r="V14" s="6"/>
      <c r="W14" s="6"/>
      <c r="X14" s="6"/>
      <c r="Y14" s="6"/>
      <c r="Z14" s="6"/>
      <c r="AA14" s="6"/>
      <c r="AB14" s="7"/>
    </row>
    <row r="15" spans="1:28" ht="20.25" x14ac:dyDescent="0.15">
      <c r="A15" s="57"/>
      <c r="B15" s="8" t="s">
        <v>29</v>
      </c>
      <c r="C15" s="27">
        <v>1.7969999999999999</v>
      </c>
      <c r="D15" s="27">
        <f t="shared" si="6"/>
        <v>1.7969999999999999</v>
      </c>
      <c r="E15" s="6"/>
      <c r="F15" s="5">
        <v>37</v>
      </c>
      <c r="G15" s="11">
        <v>12.4</v>
      </c>
      <c r="H15" s="12">
        <f t="shared" si="7"/>
        <v>33.965833909312778</v>
      </c>
      <c r="I15" s="7">
        <f t="shared" si="8"/>
        <v>33.965833909312778</v>
      </c>
      <c r="J15" s="7">
        <f t="shared" si="10"/>
        <v>32.726767008663899</v>
      </c>
      <c r="K15" s="7">
        <f t="shared" si="9"/>
        <v>1.239066900648879</v>
      </c>
      <c r="L15" s="7"/>
      <c r="M15" s="7"/>
      <c r="N15" s="7"/>
      <c r="O15" s="7"/>
      <c r="P15" s="7"/>
      <c r="Q15" s="7"/>
      <c r="R15" s="7">
        <f t="shared" si="11"/>
        <v>1.239066900648879</v>
      </c>
      <c r="S15" s="7"/>
      <c r="T15" s="7"/>
      <c r="U15" s="7"/>
      <c r="V15" s="6"/>
      <c r="W15" s="6"/>
      <c r="X15" s="6"/>
      <c r="Y15" s="6"/>
      <c r="Z15" s="6"/>
      <c r="AA15" s="6"/>
      <c r="AB15" s="7"/>
    </row>
    <row r="16" spans="1:28" ht="20.25" x14ac:dyDescent="0.15">
      <c r="A16" s="57" t="s">
        <v>14</v>
      </c>
      <c r="B16" s="9" t="s">
        <v>16</v>
      </c>
      <c r="C16" s="27">
        <v>1709.6369999999999</v>
      </c>
      <c r="D16" s="27">
        <f t="shared" si="6"/>
        <v>1709.6369999999999</v>
      </c>
      <c r="E16" s="6"/>
      <c r="F16" s="5">
        <v>37</v>
      </c>
      <c r="G16" s="11">
        <v>12.4</v>
      </c>
      <c r="H16" s="12">
        <f t="shared" si="7"/>
        <v>32314.550020709939</v>
      </c>
      <c r="I16" s="7">
        <f t="shared" si="8"/>
        <v>32314.550020709939</v>
      </c>
      <c r="J16" s="7">
        <f t="shared" si="10"/>
        <v>31135.721629599953</v>
      </c>
      <c r="K16" s="7">
        <f t="shared" si="9"/>
        <v>1178.8283911099877</v>
      </c>
      <c r="L16" s="7"/>
      <c r="M16" s="7"/>
      <c r="N16" s="7"/>
      <c r="O16" s="7"/>
      <c r="P16" s="7"/>
      <c r="Q16" s="7"/>
      <c r="R16" s="7">
        <f t="shared" si="11"/>
        <v>1178.8283911099877</v>
      </c>
      <c r="S16" s="7"/>
      <c r="T16" s="7"/>
      <c r="U16" s="7"/>
      <c r="V16" s="6"/>
      <c r="W16" s="6"/>
      <c r="X16" s="6"/>
      <c r="Y16" s="6"/>
      <c r="Z16" s="6"/>
      <c r="AA16" s="6"/>
      <c r="AB16" s="7"/>
    </row>
    <row r="17" spans="1:28" ht="20.25" x14ac:dyDescent="0.15">
      <c r="A17" s="57"/>
      <c r="B17" s="9" t="s">
        <v>17</v>
      </c>
      <c r="C17" s="27">
        <v>1550.079</v>
      </c>
      <c r="D17" s="27">
        <f t="shared" si="6"/>
        <v>852.29550000000006</v>
      </c>
      <c r="E17" s="7">
        <v>697.78349999999989</v>
      </c>
      <c r="F17" s="5">
        <v>37</v>
      </c>
      <c r="G17" s="11">
        <v>12.4</v>
      </c>
      <c r="H17" s="12">
        <f t="shared" si="7"/>
        <v>23273.774271282764</v>
      </c>
      <c r="I17" s="7">
        <f t="shared" si="8"/>
        <v>16109.586752729376</v>
      </c>
      <c r="J17" s="7">
        <f>J$7*D17/D$27</f>
        <v>15521.91221537713</v>
      </c>
      <c r="K17" s="7">
        <f t="shared" si="9"/>
        <v>587.67453735224649</v>
      </c>
      <c r="L17" s="7"/>
      <c r="M17" s="7"/>
      <c r="N17" s="7"/>
      <c r="O17" s="7"/>
      <c r="P17" s="7"/>
      <c r="Q17" s="7"/>
      <c r="R17" s="7">
        <f t="shared" si="11"/>
        <v>587.67453735224649</v>
      </c>
      <c r="S17" s="7">
        <f t="shared" si="4"/>
        <v>7164.1875185533872</v>
      </c>
      <c r="T17" s="76">
        <v>7030.07</v>
      </c>
      <c r="U17" s="7">
        <f t="shared" si="5"/>
        <v>134.11751855338721</v>
      </c>
      <c r="V17" s="6"/>
      <c r="W17" s="6"/>
      <c r="X17" s="6"/>
      <c r="Y17" s="6"/>
      <c r="Z17" s="6"/>
      <c r="AA17" s="6"/>
      <c r="AB17" s="7">
        <f>282.35*E17/E27</f>
        <v>134.11751855338721</v>
      </c>
    </row>
    <row r="18" spans="1:28" ht="20.25" x14ac:dyDescent="0.15">
      <c r="A18" s="57"/>
      <c r="B18" s="9" t="s">
        <v>18</v>
      </c>
      <c r="C18" s="27">
        <v>486.26549999999997</v>
      </c>
      <c r="D18" s="27">
        <f t="shared" si="6"/>
        <v>8.8140000000000214</v>
      </c>
      <c r="E18" s="7">
        <v>477.45149999999995</v>
      </c>
      <c r="F18" s="5">
        <v>37</v>
      </c>
      <c r="G18" s="11">
        <v>12.4</v>
      </c>
      <c r="H18" s="12">
        <f t="shared" si="7"/>
        <v>5068.6156219907853</v>
      </c>
      <c r="I18" s="7">
        <f t="shared" si="8"/>
        <v>166.59702842330745</v>
      </c>
      <c r="J18" s="7">
        <f t="shared" si="10"/>
        <v>160.51960178873915</v>
      </c>
      <c r="K18" s="7">
        <f t="shared" si="9"/>
        <v>6.0774266345683072</v>
      </c>
      <c r="L18" s="7"/>
      <c r="M18" s="7"/>
      <c r="N18" s="7"/>
      <c r="O18" s="7"/>
      <c r="P18" s="7"/>
      <c r="Q18" s="7"/>
      <c r="R18" s="7">
        <f t="shared" si="11"/>
        <v>6.0774266345683072</v>
      </c>
      <c r="S18" s="7">
        <f t="shared" si="4"/>
        <v>4902.0185935674781</v>
      </c>
      <c r="T18" s="76">
        <v>4810.25</v>
      </c>
      <c r="U18" s="7">
        <f t="shared" si="5"/>
        <v>91.768593567478376</v>
      </c>
      <c r="V18" s="6"/>
      <c r="W18" s="6"/>
      <c r="X18" s="6"/>
      <c r="Y18" s="6"/>
      <c r="Z18" s="6"/>
      <c r="AA18" s="6"/>
      <c r="AB18" s="7">
        <f>282.35*E18/E27</f>
        <v>91.768593567478376</v>
      </c>
    </row>
    <row r="19" spans="1:28" ht="20.25" x14ac:dyDescent="0.15">
      <c r="A19" s="57"/>
      <c r="B19" s="9" t="s">
        <v>19</v>
      </c>
      <c r="C19" s="27">
        <v>529.35900000000004</v>
      </c>
      <c r="D19" s="27">
        <f t="shared" si="6"/>
        <v>235.59000000000003</v>
      </c>
      <c r="E19" s="7">
        <v>293.76900000000001</v>
      </c>
      <c r="F19" s="5">
        <v>37</v>
      </c>
      <c r="G19" s="11">
        <v>12.4</v>
      </c>
      <c r="H19" s="12">
        <f t="shared" si="7"/>
        <v>7469.1270880432958</v>
      </c>
      <c r="I19" s="7">
        <f t="shared" si="8"/>
        <v>4452.9832001641616</v>
      </c>
      <c r="J19" s="7">
        <f t="shared" si="10"/>
        <v>4290.5392540740841</v>
      </c>
      <c r="K19" s="7">
        <f t="shared" si="9"/>
        <v>162.44394609007762</v>
      </c>
      <c r="L19" s="7"/>
      <c r="M19" s="7"/>
      <c r="N19" s="7"/>
      <c r="O19" s="7"/>
      <c r="P19" s="7"/>
      <c r="Q19" s="7"/>
      <c r="R19" s="7">
        <f t="shared" si="11"/>
        <v>162.44394609007762</v>
      </c>
      <c r="S19" s="7">
        <f t="shared" si="4"/>
        <v>3016.1438878791341</v>
      </c>
      <c r="T19" s="76">
        <v>2959.68</v>
      </c>
      <c r="U19" s="7">
        <f t="shared" si="5"/>
        <v>56.46388787913444</v>
      </c>
      <c r="V19" s="6"/>
      <c r="W19" s="6"/>
      <c r="X19" s="6"/>
      <c r="Y19" s="6"/>
      <c r="Z19" s="6"/>
      <c r="AA19" s="6"/>
      <c r="AB19" s="7">
        <f>282.35*E19/E27</f>
        <v>56.46388787913444</v>
      </c>
    </row>
    <row r="20" spans="1:28" ht="20.25" x14ac:dyDescent="0.15">
      <c r="A20" s="57"/>
      <c r="B20" s="9" t="s">
        <v>20</v>
      </c>
      <c r="C20" s="27">
        <v>308.75099999999998</v>
      </c>
      <c r="D20" s="27">
        <f t="shared" si="6"/>
        <v>308.75099999999998</v>
      </c>
      <c r="E20" s="6"/>
      <c r="F20" s="5">
        <v>37</v>
      </c>
      <c r="G20" s="11">
        <v>12.4</v>
      </c>
      <c r="H20" s="12">
        <f t="shared" si="7"/>
        <v>5835.8292628459822</v>
      </c>
      <c r="I20" s="7">
        <f t="shared" si="8"/>
        <v>5835.8292628459822</v>
      </c>
      <c r="J20" s="7">
        <f t="shared" si="10"/>
        <v>5622.939365994428</v>
      </c>
      <c r="K20" s="7">
        <f t="shared" si="9"/>
        <v>212.88989685155374</v>
      </c>
      <c r="L20" s="7"/>
      <c r="M20" s="7"/>
      <c r="N20" s="7"/>
      <c r="O20" s="7"/>
      <c r="P20" s="7"/>
      <c r="Q20" s="7"/>
      <c r="R20" s="7">
        <f t="shared" si="11"/>
        <v>212.88989685155374</v>
      </c>
      <c r="S20" s="7"/>
      <c r="T20" s="7"/>
      <c r="U20" s="7"/>
      <c r="V20" s="6"/>
      <c r="W20" s="6"/>
      <c r="X20" s="6"/>
      <c r="Y20" s="6"/>
      <c r="Z20" s="6"/>
      <c r="AA20" s="6"/>
      <c r="AB20" s="7"/>
    </row>
    <row r="21" spans="1:28" ht="20.25" x14ac:dyDescent="0.15">
      <c r="A21" s="57"/>
      <c r="B21" s="9" t="s">
        <v>21</v>
      </c>
      <c r="C21" s="27">
        <v>293.20350000000002</v>
      </c>
      <c r="D21" s="27">
        <f t="shared" si="6"/>
        <v>293.20350000000002</v>
      </c>
      <c r="E21" s="6"/>
      <c r="F21" s="5">
        <v>37</v>
      </c>
      <c r="G21" s="11">
        <v>12.4</v>
      </c>
      <c r="H21" s="12">
        <f t="shared" si="7"/>
        <v>5541.9595896656592</v>
      </c>
      <c r="I21" s="7">
        <f t="shared" si="8"/>
        <v>5541.9595896656592</v>
      </c>
      <c r="J21" s="7">
        <f t="shared" si="10"/>
        <v>5339.7900003476825</v>
      </c>
      <c r="K21" s="7">
        <f t="shared" si="9"/>
        <v>202.16958931797643</v>
      </c>
      <c r="L21" s="7"/>
      <c r="M21" s="7"/>
      <c r="N21" s="7"/>
      <c r="O21" s="7"/>
      <c r="P21" s="7"/>
      <c r="Q21" s="7"/>
      <c r="R21" s="7">
        <f t="shared" si="11"/>
        <v>202.16958931797643</v>
      </c>
      <c r="S21" s="7"/>
      <c r="T21" s="7"/>
      <c r="U21" s="7"/>
      <c r="V21" s="6"/>
      <c r="W21" s="6"/>
      <c r="X21" s="6"/>
      <c r="Y21" s="6"/>
      <c r="Z21" s="6"/>
      <c r="AA21" s="6"/>
      <c r="AB21" s="7"/>
    </row>
    <row r="22" spans="1:28" ht="20.25" x14ac:dyDescent="0.15">
      <c r="A22" s="57"/>
      <c r="B22" s="9" t="s">
        <v>22</v>
      </c>
      <c r="C22" s="27">
        <v>722.16750000000002</v>
      </c>
      <c r="D22" s="27">
        <f t="shared" si="6"/>
        <v>722.16750000000002</v>
      </c>
      <c r="E22" s="6"/>
      <c r="F22" s="5">
        <v>37</v>
      </c>
      <c r="G22" s="11">
        <v>12.4</v>
      </c>
      <c r="H22" s="12">
        <f t="shared" si="7"/>
        <v>13649.984062161177</v>
      </c>
      <c r="I22" s="7">
        <f t="shared" si="8"/>
        <v>13649.984062161177</v>
      </c>
      <c r="J22" s="7">
        <f t="shared" si="10"/>
        <v>13152.035344312346</v>
      </c>
      <c r="K22" s="7">
        <f t="shared" si="9"/>
        <v>497.94871784883111</v>
      </c>
      <c r="L22" s="7"/>
      <c r="M22" s="7"/>
      <c r="N22" s="7"/>
      <c r="O22" s="7"/>
      <c r="P22" s="7"/>
      <c r="Q22" s="7"/>
      <c r="R22" s="7">
        <f t="shared" si="11"/>
        <v>497.94871784883111</v>
      </c>
      <c r="S22" s="7"/>
      <c r="T22" s="7"/>
      <c r="U22" s="7"/>
      <c r="V22" s="6"/>
      <c r="W22" s="6"/>
      <c r="X22" s="6"/>
      <c r="Y22" s="6"/>
      <c r="Z22" s="6"/>
      <c r="AA22" s="6"/>
      <c r="AB22" s="7"/>
    </row>
    <row r="23" spans="1:28" ht="20.25" x14ac:dyDescent="0.15">
      <c r="A23" s="57"/>
      <c r="B23" s="9" t="s">
        <v>23</v>
      </c>
      <c r="C23" s="27">
        <v>52.796999999999997</v>
      </c>
      <c r="D23" s="27">
        <f t="shared" si="6"/>
        <v>52.796999999999997</v>
      </c>
      <c r="E23" s="6"/>
      <c r="F23" s="5">
        <v>37</v>
      </c>
      <c r="G23" s="11">
        <v>12.4</v>
      </c>
      <c r="H23" s="12">
        <f t="shared" si="7"/>
        <v>997.9377478630978</v>
      </c>
      <c r="I23" s="7">
        <f t="shared" si="8"/>
        <v>997.9377478630978</v>
      </c>
      <c r="J23" s="7">
        <f t="shared" si="10"/>
        <v>961.53317626957585</v>
      </c>
      <c r="K23" s="7">
        <f t="shared" si="9"/>
        <v>36.404571593521908</v>
      </c>
      <c r="L23" s="7"/>
      <c r="M23" s="7"/>
      <c r="N23" s="7"/>
      <c r="O23" s="7"/>
      <c r="P23" s="7"/>
      <c r="Q23" s="7"/>
      <c r="R23" s="7">
        <f t="shared" si="11"/>
        <v>36.404571593521908</v>
      </c>
      <c r="S23" s="7"/>
      <c r="T23" s="7"/>
      <c r="U23" s="7"/>
      <c r="V23" s="6"/>
      <c r="W23" s="6"/>
      <c r="X23" s="6"/>
      <c r="Y23" s="6"/>
      <c r="Z23" s="6"/>
      <c r="AA23" s="6"/>
      <c r="AB23" s="7"/>
    </row>
    <row r="24" spans="1:28" ht="20.25" x14ac:dyDescent="0.15">
      <c r="A24" s="57"/>
      <c r="B24" s="9" t="s">
        <v>24</v>
      </c>
      <c r="C24" s="27">
        <v>54.895499999999998</v>
      </c>
      <c r="D24" s="27">
        <f t="shared" si="6"/>
        <v>54.895499999999998</v>
      </c>
      <c r="E24" s="6"/>
      <c r="F24" s="5">
        <v>37</v>
      </c>
      <c r="G24" s="11">
        <v>12.4</v>
      </c>
      <c r="H24" s="12">
        <f t="shared" si="7"/>
        <v>1037.6023569107842</v>
      </c>
      <c r="I24" s="7">
        <f t="shared" si="8"/>
        <v>1037.6023569107842</v>
      </c>
      <c r="J24" s="7">
        <f t="shared" si="10"/>
        <v>999.75082822710567</v>
      </c>
      <c r="K24" s="7">
        <f t="shared" si="9"/>
        <v>37.851528683678652</v>
      </c>
      <c r="L24" s="7"/>
      <c r="M24" s="7"/>
      <c r="N24" s="7"/>
      <c r="O24" s="7"/>
      <c r="P24" s="7"/>
      <c r="Q24" s="7"/>
      <c r="R24" s="7">
        <f t="shared" si="11"/>
        <v>37.851528683678652</v>
      </c>
      <c r="S24" s="7"/>
      <c r="T24" s="7"/>
      <c r="U24" s="7"/>
      <c r="V24" s="6"/>
      <c r="W24" s="6"/>
      <c r="X24" s="6"/>
      <c r="Y24" s="6"/>
      <c r="Z24" s="6"/>
      <c r="AA24" s="6"/>
      <c r="AB24" s="7"/>
    </row>
    <row r="25" spans="1:28" ht="20.25" x14ac:dyDescent="0.15">
      <c r="A25" s="57"/>
      <c r="B25" s="8" t="s">
        <v>25</v>
      </c>
      <c r="C25" s="27">
        <v>103.191</v>
      </c>
      <c r="D25" s="27">
        <f t="shared" si="6"/>
        <v>103.191</v>
      </c>
      <c r="E25" s="6"/>
      <c r="F25" s="5">
        <v>37</v>
      </c>
      <c r="G25" s="11">
        <v>12.4</v>
      </c>
      <c r="H25" s="12">
        <f t="shared" si="7"/>
        <v>1950.4554073099025</v>
      </c>
      <c r="I25" s="7">
        <f t="shared" si="8"/>
        <v>1950.4554073099025</v>
      </c>
      <c r="J25" s="7">
        <f t="shared" si="10"/>
        <v>1879.3031799616228</v>
      </c>
      <c r="K25" s="7">
        <f t="shared" si="9"/>
        <v>71.152227348279624</v>
      </c>
      <c r="L25" s="7"/>
      <c r="M25" s="7"/>
      <c r="N25" s="7"/>
      <c r="O25" s="7"/>
      <c r="P25" s="7"/>
      <c r="Q25" s="7"/>
      <c r="R25" s="7">
        <f t="shared" si="11"/>
        <v>71.152227348279624</v>
      </c>
      <c r="S25" s="7"/>
      <c r="T25" s="7"/>
      <c r="U25" s="7"/>
      <c r="V25" s="6"/>
      <c r="W25" s="6"/>
      <c r="X25" s="6"/>
      <c r="Y25" s="6"/>
      <c r="Z25" s="6"/>
      <c r="AA25" s="6"/>
      <c r="AB25" s="7"/>
    </row>
    <row r="26" spans="1:28" ht="20.25" x14ac:dyDescent="0.15">
      <c r="A26" s="57"/>
      <c r="B26" s="8" t="s">
        <v>26</v>
      </c>
      <c r="C26" s="27">
        <v>99.820499999999996</v>
      </c>
      <c r="D26" s="27">
        <f t="shared" si="6"/>
        <v>99.820499999999996</v>
      </c>
      <c r="E26" s="6"/>
      <c r="F26" s="5">
        <v>37</v>
      </c>
      <c r="G26" s="11">
        <v>12.4</v>
      </c>
      <c r="H26" s="12">
        <f t="shared" si="7"/>
        <v>1886.7482046436037</v>
      </c>
      <c r="I26" s="7">
        <f t="shared" si="8"/>
        <v>1886.7482046436037</v>
      </c>
      <c r="J26" s="7">
        <f t="shared" si="10"/>
        <v>1817.9200034437031</v>
      </c>
      <c r="K26" s="7">
        <f t="shared" si="9"/>
        <v>68.828201199900633</v>
      </c>
      <c r="L26" s="6"/>
      <c r="M26" s="6"/>
      <c r="N26" s="6"/>
      <c r="O26" s="6"/>
      <c r="P26" s="6"/>
      <c r="Q26" s="6"/>
      <c r="R26" s="7">
        <f t="shared" si="11"/>
        <v>68.828201199900633</v>
      </c>
      <c r="S26" s="7"/>
      <c r="T26" s="7"/>
      <c r="U26" s="7"/>
      <c r="V26" s="6"/>
      <c r="W26" s="6"/>
      <c r="X26" s="6"/>
      <c r="Y26" s="6"/>
      <c r="Z26" s="6"/>
      <c r="AA26" s="6"/>
      <c r="AB26" s="7"/>
    </row>
    <row r="27" spans="1:28" ht="18.75" x14ac:dyDescent="0.15">
      <c r="A27" s="3" t="s">
        <v>12</v>
      </c>
      <c r="B27" s="3"/>
      <c r="C27" s="27">
        <f>SUM(C13:C26)</f>
        <v>7509.0139999999983</v>
      </c>
      <c r="D27" s="27">
        <f>SUM(D13:D26)</f>
        <v>6040.0099999999993</v>
      </c>
      <c r="E27" s="7">
        <f>SUM(E13:E26)</f>
        <v>1469.0039999999999</v>
      </c>
      <c r="F27" s="7"/>
      <c r="G27" s="7"/>
      <c r="H27" s="7">
        <f>SUM(H10:H26)</f>
        <v>175199.99705882356</v>
      </c>
      <c r="I27" s="7">
        <f>SUM(I10:I26)</f>
        <v>157200.00000000003</v>
      </c>
      <c r="J27" s="7">
        <f>SUM(J13:J26)</f>
        <v>110000.00000000001</v>
      </c>
      <c r="K27" s="7">
        <f>SUM(K10:K26)</f>
        <v>47200.000000000015</v>
      </c>
      <c r="L27" s="7">
        <f>L10</f>
        <v>27764.705882352941</v>
      </c>
      <c r="M27" s="7">
        <f t="shared" ref="M27:P27" si="12">M10</f>
        <v>2776.4705882352941</v>
      </c>
      <c r="N27" s="7">
        <f t="shared" si="12"/>
        <v>2776.4705882352941</v>
      </c>
      <c r="O27" s="7">
        <f t="shared" si="12"/>
        <v>2776.4705882352941</v>
      </c>
      <c r="P27" s="7">
        <f t="shared" si="12"/>
        <v>2776.4705882352941</v>
      </c>
      <c r="Q27" s="7">
        <f>SUM(Q11:Q26)</f>
        <v>4164.7058823529405</v>
      </c>
      <c r="R27" s="7">
        <f>SUM(R11:R26)</f>
        <v>4164.7058823529414</v>
      </c>
      <c r="S27" s="7">
        <f t="shared" ref="S27" si="13">SUM(S10:S26)</f>
        <v>17999.99705882353</v>
      </c>
      <c r="T27" s="7">
        <f>SUM(T10:T26)</f>
        <v>14800</v>
      </c>
      <c r="U27" s="7">
        <f t="shared" ref="U27:AA27" si="14">SUM(U10:U26)</f>
        <v>3199.9970588235292</v>
      </c>
      <c r="V27" s="7">
        <f t="shared" si="14"/>
        <v>1882.3529411764707</v>
      </c>
      <c r="W27" s="7">
        <f t="shared" si="14"/>
        <v>188.23529411764707</v>
      </c>
      <c r="X27" s="7">
        <f t="shared" si="14"/>
        <v>188.23529411764707</v>
      </c>
      <c r="Y27" s="7">
        <f t="shared" si="14"/>
        <v>188.23529411764707</v>
      </c>
      <c r="Z27" s="7">
        <f t="shared" si="14"/>
        <v>188.23529411764707</v>
      </c>
      <c r="AA27" s="7">
        <f t="shared" si="14"/>
        <v>282.35294117647061</v>
      </c>
      <c r="AB27" s="7">
        <f>SUM(AB10:AB26)</f>
        <v>282.35000000000002</v>
      </c>
    </row>
    <row r="28" spans="1:28" ht="25.5" customHeight="1" x14ac:dyDescent="0.15">
      <c r="A28" s="30" t="s">
        <v>47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</row>
    <row r="29" spans="1:28" ht="23.25" customHeight="1" x14ac:dyDescent="0.1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5"/>
    </row>
    <row r="30" spans="1:28" ht="21" customHeight="1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5"/>
    </row>
    <row r="31" spans="1:28" ht="82.5" customHeight="1" x14ac:dyDescent="0.1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8"/>
    </row>
  </sheetData>
  <mergeCells count="28">
    <mergeCell ref="A16:A26"/>
    <mergeCell ref="A13:A15"/>
    <mergeCell ref="C3:C6"/>
    <mergeCell ref="A3:B6"/>
    <mergeCell ref="D4:D6"/>
    <mergeCell ref="D3:E3"/>
    <mergeCell ref="A9:AB9"/>
    <mergeCell ref="F4:F6"/>
    <mergeCell ref="H3:H6"/>
    <mergeCell ref="K4:R5"/>
    <mergeCell ref="U4:AB5"/>
    <mergeCell ref="A8:B8"/>
    <mergeCell ref="A1:AB1"/>
    <mergeCell ref="A28:AB31"/>
    <mergeCell ref="E4:E6"/>
    <mergeCell ref="G4:G6"/>
    <mergeCell ref="I4:I6"/>
    <mergeCell ref="J4:J6"/>
    <mergeCell ref="S4:S6"/>
    <mergeCell ref="F3:G3"/>
    <mergeCell ref="S3:AB3"/>
    <mergeCell ref="A12:B12"/>
    <mergeCell ref="A7:B7"/>
    <mergeCell ref="A2:AB2"/>
    <mergeCell ref="A10:B10"/>
    <mergeCell ref="A11:B11"/>
    <mergeCell ref="I3:R3"/>
    <mergeCell ref="T4:T6"/>
  </mergeCells>
  <phoneticPr fontId="1" type="noConversion"/>
  <pageMargins left="0.39" right="0.38" top="0.74803149606299213" bottom="0.74803149606299213" header="0.31496062992125984" footer="0.31496062992125984"/>
  <pageSetup paperSize="8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2022年省级以上生态公益林效益补偿资金分配明细表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司徒惠琳(UE000847)</dc:creator>
  <cp:lastModifiedBy>司徒惠琳(UE000847)</cp:lastModifiedBy>
  <cp:lastPrinted>2022-01-04T07:26:24Z</cp:lastPrinted>
  <dcterms:created xsi:type="dcterms:W3CDTF">2021-01-29T00:51:18Z</dcterms:created>
  <dcterms:modified xsi:type="dcterms:W3CDTF">2022-05-16T07:09:59Z</dcterms:modified>
</cp:coreProperties>
</file>