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2年省级以上生态公益林效益补偿资金分配明细表" sheetId="1" r:id="rId1"/>
    <sheet name="Sheet2" sheetId="2" r:id="rId2"/>
    <sheet name="Sheet3" sheetId="3" r:id="rId3"/>
  </sheets>
  <definedNames>
    <definedName name="_xlnm.Print_Area" localSheetId="0">'2022年省级以上生态公益林效益补偿资金分配明细表'!$A$1:$AB$31</definedName>
  </definedNames>
  <calcPr calcId="144525" fullPrecision="0"/>
</workbook>
</file>

<file path=xl/sharedStrings.xml><?xml version="1.0" encoding="utf-8"?>
<sst xmlns="http://schemas.openxmlformats.org/spreadsheetml/2006/main" count="58" uniqueCount="44">
  <si>
    <t>2023年省级以上生态公益林效益补偿资金分配明细表</t>
  </si>
  <si>
    <t>下达文件：《关于提前下达2023年省级以上公益林效益补偿资金的通知》（江财农〔2022〕110号）</t>
  </si>
  <si>
    <r>
      <rPr>
        <b/>
        <sz val="14"/>
        <color theme="1"/>
        <rFont val="仿宋_GB2312"/>
        <charset val="134"/>
      </rPr>
      <t>单</t>
    </r>
    <r>
      <rPr>
        <b/>
        <sz val="14"/>
        <color indexed="8"/>
        <rFont val="Times New Roman"/>
        <charset val="134"/>
      </rPr>
      <t xml:space="preserve">  </t>
    </r>
    <r>
      <rPr>
        <b/>
        <sz val="14"/>
        <color indexed="8"/>
        <rFont val="仿宋_GB2312"/>
        <charset val="134"/>
      </rPr>
      <t>位</t>
    </r>
  </si>
  <si>
    <t>省下达资金面积（亩）</t>
  </si>
  <si>
    <t>其中：</t>
  </si>
  <si>
    <t>补偿标准（元）</t>
  </si>
  <si>
    <t>下达资金合计</t>
  </si>
  <si>
    <t>一般区域补偿资金（元）</t>
  </si>
  <si>
    <t>特殊区域补偿资金（增量）（元）</t>
  </si>
  <si>
    <t>一般区域面积（亩）</t>
  </si>
  <si>
    <t>特殊区域面积（亩）</t>
  </si>
  <si>
    <t>一般
区域</t>
  </si>
  <si>
    <t>特殊
区域
（增量）</t>
  </si>
  <si>
    <t>小计</t>
  </si>
  <si>
    <t>损失性补偿</t>
  </si>
  <si>
    <t>管护经费（17%）</t>
  </si>
  <si>
    <t>10%工资</t>
  </si>
  <si>
    <t>1%防火</t>
  </si>
  <si>
    <t>1%工具</t>
  </si>
  <si>
    <t>1%奖励</t>
  </si>
  <si>
    <t>1%区管理</t>
  </si>
  <si>
    <t>1.5%街道管理</t>
  </si>
  <si>
    <t>1.5%村管理</t>
  </si>
  <si>
    <t>下达数据</t>
  </si>
  <si>
    <t>实际数据</t>
  </si>
  <si>
    <t>江海区自然资源局</t>
  </si>
  <si>
    <t>外海街道</t>
  </si>
  <si>
    <t>江南街道</t>
  </si>
  <si>
    <r>
      <rPr>
        <sz val="16"/>
        <color rgb="FF000000"/>
        <rFont val="宋体"/>
        <charset val="134"/>
      </rPr>
      <t>滘</t>
    </r>
    <r>
      <rPr>
        <sz val="16"/>
        <color rgb="FF000000"/>
        <rFont val="仿宋_GB2312"/>
        <charset val="134"/>
      </rPr>
      <t>北股份</t>
    </r>
  </si>
  <si>
    <r>
      <rPr>
        <sz val="16"/>
        <color rgb="FF000000"/>
        <rFont val="宋体"/>
        <charset val="134"/>
      </rPr>
      <t>滘</t>
    </r>
    <r>
      <rPr>
        <sz val="16"/>
        <color rgb="FF000000"/>
        <rFont val="仿宋_GB2312"/>
        <charset val="134"/>
      </rPr>
      <t>头股份</t>
    </r>
  </si>
  <si>
    <r>
      <rPr>
        <sz val="16"/>
        <color rgb="FF000000"/>
        <rFont val="宋体"/>
        <charset val="134"/>
      </rPr>
      <t>滘</t>
    </r>
    <r>
      <rPr>
        <sz val="16"/>
        <color rgb="FF000000"/>
        <rFont val="仿宋_GB2312"/>
        <charset val="134"/>
      </rPr>
      <t>头永星</t>
    </r>
  </si>
  <si>
    <t>金溪</t>
  </si>
  <si>
    <t>麻三</t>
  </si>
  <si>
    <t>麻二</t>
  </si>
  <si>
    <t>麻一</t>
  </si>
  <si>
    <t>南山</t>
  </si>
  <si>
    <t>东南</t>
  </si>
  <si>
    <t>外海农服</t>
  </si>
  <si>
    <t>东宁</t>
  </si>
  <si>
    <t>七西</t>
  </si>
  <si>
    <t>前进</t>
  </si>
  <si>
    <t>清兰</t>
  </si>
  <si>
    <t>合计</t>
  </si>
  <si>
    <t xml:space="preserve">说明：
1. 一般区域为除特殊区域外的省级以上生态公益林。特殊区域指白水带市级森林公园。
2.依据《广东省省级生态公益林效益补偿资金管理办法》，区域补偿资金管护经费是按17%区分配，2.5%省统筹，0.5%市统筹，实际下达资金为区分配的17%。各单位实际资金计算公式：资金*占比/17%。
3.因省市的森林面积最小统计单位为百亩，四舍五入导致下达资金面积与实际面积不符。经与市自然资源局沟通，采取以实际下达补偿资金总额为基数，按实际面积占比发放。
4.各林权单位面积统计截止时间为2022年11月2日,数据来源为广东省森林资源信息系统。
5.一般区域补偿金额按实际亩数/6036.60*损失性补偿金额总数。
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</si>
</sst>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0_ "/>
  </numFmts>
  <fonts count="43">
    <font>
      <sz val="11"/>
      <color theme="1"/>
      <name val="宋体"/>
      <charset val="134"/>
      <scheme val="minor"/>
    </font>
    <font>
      <sz val="28"/>
      <color theme="1"/>
      <name val="方正小标宋简体"/>
      <charset val="134"/>
    </font>
    <font>
      <sz val="16"/>
      <color theme="1"/>
      <name val="方正小标宋简体"/>
      <charset val="134"/>
    </font>
    <font>
      <sz val="20"/>
      <color theme="1"/>
      <name val="方正小标宋简体"/>
      <charset val="134"/>
    </font>
    <font>
      <b/>
      <sz val="14"/>
      <color theme="1"/>
      <name val="仿宋_GB2312"/>
      <charset val="134"/>
    </font>
    <font>
      <b/>
      <sz val="14"/>
      <color theme="1"/>
      <name val="宋体"/>
      <charset val="134"/>
    </font>
    <font>
      <b/>
      <sz val="14"/>
      <name val="宋体"/>
      <charset val="134"/>
    </font>
    <font>
      <sz val="14"/>
      <color rgb="FF000000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rgb="FF000000"/>
      <name val="宋体"/>
      <charset val="134"/>
    </font>
    <font>
      <b/>
      <sz val="14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6"/>
      <color rgb="FF000000"/>
      <name val="仿宋_GB2312"/>
      <charset val="134"/>
    </font>
    <font>
      <sz val="14"/>
      <color rgb="FF000000"/>
      <name val="宋体"/>
      <charset val="134"/>
    </font>
    <font>
      <sz val="16"/>
      <color theme="1"/>
      <name val="宋体"/>
      <charset val="134"/>
      <scheme val="minor"/>
    </font>
    <font>
      <b/>
      <sz val="12"/>
      <color rgb="FF000000"/>
      <name val="仿宋_GB2312"/>
      <charset val="134"/>
    </font>
    <font>
      <sz val="14"/>
      <color theme="1"/>
      <name val="宋体"/>
      <charset val="134"/>
    </font>
    <font>
      <b/>
      <sz val="14"/>
      <color theme="1"/>
      <name val="宋体"/>
      <charset val="134"/>
      <scheme val="minor"/>
    </font>
    <font>
      <b/>
      <sz val="14"/>
      <name val="仿宋_GB2312"/>
      <charset val="134"/>
    </font>
    <font>
      <sz val="14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b/>
      <sz val="14"/>
      <color indexed="8"/>
      <name val="Times New Roman"/>
      <charset val="134"/>
    </font>
    <font>
      <b/>
      <sz val="14"/>
      <color indexed="8"/>
      <name val="仿宋_GB2312"/>
      <charset val="134"/>
    </font>
  </fonts>
  <fills count="3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20" fillId="0" borderId="0" applyFont="0" applyFill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2" fillId="5" borderId="16" applyNumberFormat="0" applyAlignment="0" applyProtection="0">
      <alignment vertical="center"/>
    </xf>
    <xf numFmtId="44" fontId="20" fillId="0" borderId="0" applyFon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43" fontId="20" fillId="0" borderId="0" applyFont="0" applyFill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20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0" fillId="9" borderId="17" applyNumberFormat="0" applyFont="0" applyAlignment="0" applyProtection="0">
      <alignment vertical="center"/>
    </xf>
    <xf numFmtId="0" fontId="24" fillId="10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18" applyNumberFormat="0" applyFill="0" applyAlignment="0" applyProtection="0">
      <alignment vertical="center"/>
    </xf>
    <xf numFmtId="0" fontId="32" fillId="0" borderId="18" applyNumberFormat="0" applyFill="0" applyAlignment="0" applyProtection="0">
      <alignment vertical="center"/>
    </xf>
    <xf numFmtId="0" fontId="24" fillId="11" borderId="0" applyNumberFormat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33" fillId="13" borderId="20" applyNumberFormat="0" applyAlignment="0" applyProtection="0">
      <alignment vertical="center"/>
    </xf>
    <xf numFmtId="0" fontId="34" fillId="13" borderId="16" applyNumberFormat="0" applyAlignment="0" applyProtection="0">
      <alignment vertical="center"/>
    </xf>
    <xf numFmtId="0" fontId="35" fillId="14" borderId="21" applyNumberFormat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36" fillId="0" borderId="22" applyNumberFormat="0" applyFill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8" fillId="17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24" fillId="34" borderId="0" applyNumberFormat="0" applyBorder="0" applyAlignment="0" applyProtection="0">
      <alignment vertical="center"/>
    </xf>
    <xf numFmtId="0" fontId="40" fillId="0" borderId="0">
      <alignment vertical="center"/>
    </xf>
  </cellStyleXfs>
  <cellXfs count="81">
    <xf numFmtId="0" fontId="0" fillId="0" borderId="0" xfId="0">
      <alignment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horizontal="center" vertical="center" wrapText="1"/>
    </xf>
    <xf numFmtId="176" fontId="6" fillId="2" borderId="6" xfId="0" applyNumberFormat="1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176" fontId="5" fillId="3" borderId="6" xfId="0" applyNumberFormat="1" applyFont="1" applyFill="1" applyBorder="1" applyAlignment="1">
      <alignment horizontal="center" vertical="center" wrapText="1"/>
    </xf>
    <xf numFmtId="176" fontId="6" fillId="3" borderId="6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177" fontId="7" fillId="0" borderId="13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7" fontId="8" fillId="2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77" fontId="9" fillId="2" borderId="1" xfId="0" applyNumberFormat="1" applyFont="1" applyFill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77" fontId="12" fillId="2" borderId="1" xfId="0" applyNumberFormat="1" applyFont="1" applyFill="1" applyBorder="1" applyAlignment="1">
      <alignment horizontal="center" vertical="top" wrapText="1"/>
    </xf>
    <xf numFmtId="177" fontId="13" fillId="0" borderId="1" xfId="0" applyNumberFormat="1" applyFont="1" applyBorder="1" applyAlignment="1">
      <alignment horizontal="center" vertical="top" wrapText="1"/>
    </xf>
    <xf numFmtId="177" fontId="8" fillId="3" borderId="1" xfId="0" applyNumberFormat="1" applyFont="1" applyFill="1" applyBorder="1" applyAlignment="1">
      <alignment horizontal="center" vertical="center"/>
    </xf>
    <xf numFmtId="0" fontId="8" fillId="0" borderId="4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0" fillId="0" borderId="0" xfId="0" applyFill="1" applyAlignment="1">
      <alignment horizontal="right" vertical="center"/>
    </xf>
    <xf numFmtId="2" fontId="14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top" wrapText="1"/>
    </xf>
    <xf numFmtId="176" fontId="16" fillId="3" borderId="6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center" vertical="center" wrapText="1"/>
    </xf>
    <xf numFmtId="176" fontId="5" fillId="2" borderId="1" xfId="0" applyNumberFormat="1" applyFont="1" applyFill="1" applyBorder="1" applyAlignment="1">
      <alignment horizontal="center" vertical="center" wrapText="1"/>
    </xf>
    <xf numFmtId="176" fontId="17" fillId="2" borderId="1" xfId="0" applyNumberFormat="1" applyFont="1" applyFill="1" applyBorder="1" applyAlignment="1">
      <alignment horizontal="center" vertical="center" wrapText="1"/>
    </xf>
    <xf numFmtId="176" fontId="8" fillId="3" borderId="1" xfId="0" applyNumberFormat="1" applyFont="1" applyFill="1" applyBorder="1" applyAlignment="1">
      <alignment horizontal="center" vertical="center" wrapText="1"/>
    </xf>
    <xf numFmtId="177" fontId="8" fillId="0" borderId="1" xfId="0" applyNumberFormat="1" applyFont="1" applyBorder="1" applyAlignment="1">
      <alignment horizontal="center" vertical="center" wrapText="1"/>
    </xf>
    <xf numFmtId="177" fontId="19" fillId="0" borderId="1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18" fillId="0" borderId="5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176" fontId="17" fillId="2" borderId="1" xfId="0" applyNumberFormat="1" applyFont="1" applyFill="1" applyBorder="1" applyAlignment="1">
      <alignment horizontal="center" vertical="center"/>
    </xf>
    <xf numFmtId="0" fontId="11" fillId="0" borderId="5" xfId="0" applyFont="1" applyBorder="1" applyAlignment="1">
      <alignment horizontal="left" vertical="center" wrapText="1"/>
    </xf>
    <xf numFmtId="0" fontId="11" fillId="0" borderId="8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49"/>
  <sheetViews>
    <sheetView tabSelected="1" zoomScale="70" zoomScaleNormal="70" workbookViewId="0">
      <selection activeCell="H33" sqref="H33"/>
    </sheetView>
  </sheetViews>
  <sheetFormatPr defaultColWidth="9" defaultRowHeight="13.5"/>
  <cols>
    <col min="1" max="1" width="6.75" style="3" customWidth="1"/>
    <col min="2" max="2" width="15.5" style="3" customWidth="1"/>
    <col min="3" max="3" width="12.375" style="3" customWidth="1"/>
    <col min="4" max="4" width="14.125" style="3" customWidth="1"/>
    <col min="5" max="5" width="15.625" style="3" hidden="1" customWidth="1"/>
    <col min="6" max="6" width="17.5" style="3" customWidth="1"/>
    <col min="7" max="7" width="13.875" style="3" hidden="1" customWidth="1"/>
    <col min="8" max="8" width="17.5" style="3" customWidth="1"/>
    <col min="9" max="10" width="17.625" style="3" customWidth="1"/>
    <col min="11" max="11" width="14.125" style="3" customWidth="1"/>
    <col min="12" max="12" width="15.875" style="3" customWidth="1"/>
    <col min="13" max="16" width="14.25" style="3" customWidth="1"/>
    <col min="17" max="17" width="14.75" style="3" customWidth="1"/>
    <col min="18" max="18" width="12.5" style="3" customWidth="1"/>
    <col min="19" max="21" width="13.75" style="3" hidden="1" customWidth="1"/>
    <col min="22" max="22" width="13.125" style="3" hidden="1" customWidth="1"/>
    <col min="23" max="27" width="11.625" style="3" hidden="1" customWidth="1"/>
    <col min="28" max="28" width="11.25" style="3" hidden="1" customWidth="1"/>
    <col min="29" max="16384" width="9" style="3"/>
  </cols>
  <sheetData>
    <row r="1" ht="36.75" spans="1:28">
      <c r="A1" s="4" t="s">
        <v>0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</row>
    <row r="2" ht="45.75" customHeight="1" spans="1:28">
      <c r="A2" s="6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4"/>
    </row>
    <row r="3" ht="18.75" customHeight="1" spans="1:28">
      <c r="A3" s="8" t="s">
        <v>2</v>
      </c>
      <c r="B3" s="9"/>
      <c r="C3" s="10" t="s">
        <v>3</v>
      </c>
      <c r="D3" s="11" t="s">
        <v>4</v>
      </c>
      <c r="E3" s="11"/>
      <c r="F3" s="11" t="s">
        <v>5</v>
      </c>
      <c r="G3" s="11"/>
      <c r="H3" s="11" t="s">
        <v>6</v>
      </c>
      <c r="I3" s="50" t="s">
        <v>7</v>
      </c>
      <c r="J3" s="51"/>
      <c r="K3" s="51"/>
      <c r="L3" s="51"/>
      <c r="M3" s="51"/>
      <c r="N3" s="51"/>
      <c r="O3" s="51"/>
      <c r="P3" s="51"/>
      <c r="Q3" s="51"/>
      <c r="R3" s="60"/>
      <c r="S3" s="61" t="s">
        <v>8</v>
      </c>
      <c r="T3" s="61"/>
      <c r="U3" s="61"/>
      <c r="V3" s="61"/>
      <c r="W3" s="61"/>
      <c r="X3" s="61"/>
      <c r="Y3" s="61"/>
      <c r="Z3" s="61"/>
      <c r="AA3" s="61"/>
      <c r="AB3" s="61"/>
    </row>
    <row r="4" ht="18.75" customHeight="1" spans="1:28">
      <c r="A4" s="12"/>
      <c r="B4" s="13"/>
      <c r="C4" s="14"/>
      <c r="D4" s="11" t="s">
        <v>9</v>
      </c>
      <c r="E4" s="11" t="s">
        <v>10</v>
      </c>
      <c r="F4" s="11" t="s">
        <v>11</v>
      </c>
      <c r="G4" s="11" t="s">
        <v>12</v>
      </c>
      <c r="H4" s="11"/>
      <c r="I4" s="10" t="s">
        <v>13</v>
      </c>
      <c r="J4" s="11" t="s">
        <v>14</v>
      </c>
      <c r="K4" s="8" t="s">
        <v>15</v>
      </c>
      <c r="L4" s="52"/>
      <c r="M4" s="52"/>
      <c r="N4" s="52"/>
      <c r="O4" s="52"/>
      <c r="P4" s="52"/>
      <c r="Q4" s="52"/>
      <c r="R4" s="9"/>
      <c r="S4" s="62" t="s">
        <v>13</v>
      </c>
      <c r="T4" s="62" t="s">
        <v>14</v>
      </c>
      <c r="U4" s="63" t="s">
        <v>15</v>
      </c>
      <c r="V4" s="64"/>
      <c r="W4" s="64"/>
      <c r="X4" s="64"/>
      <c r="Y4" s="64"/>
      <c r="Z4" s="64"/>
      <c r="AA4" s="64"/>
      <c r="AB4" s="75"/>
    </row>
    <row r="5" ht="18.75" customHeight="1" spans="1:28">
      <c r="A5" s="12"/>
      <c r="B5" s="13"/>
      <c r="C5" s="14"/>
      <c r="D5" s="11"/>
      <c r="E5" s="11"/>
      <c r="F5" s="11"/>
      <c r="G5" s="11"/>
      <c r="H5" s="11"/>
      <c r="I5" s="14"/>
      <c r="J5" s="11"/>
      <c r="K5" s="12"/>
      <c r="L5" s="53"/>
      <c r="M5" s="53"/>
      <c r="N5" s="53"/>
      <c r="O5" s="53"/>
      <c r="P5" s="53"/>
      <c r="Q5" s="53"/>
      <c r="R5" s="13"/>
      <c r="S5" s="65"/>
      <c r="T5" s="65"/>
      <c r="U5" s="66"/>
      <c r="V5" s="67"/>
      <c r="W5" s="67"/>
      <c r="X5" s="67"/>
      <c r="Y5" s="67"/>
      <c r="Z5" s="67"/>
      <c r="AA5" s="67"/>
      <c r="AB5" s="76"/>
    </row>
    <row r="6" ht="28.5" spans="1:28">
      <c r="A6" s="15"/>
      <c r="B6" s="16"/>
      <c r="C6" s="17"/>
      <c r="D6" s="11"/>
      <c r="E6" s="11"/>
      <c r="F6" s="11"/>
      <c r="G6" s="11"/>
      <c r="H6" s="11"/>
      <c r="I6" s="17"/>
      <c r="J6" s="11"/>
      <c r="K6" s="11" t="s">
        <v>13</v>
      </c>
      <c r="L6" s="54" t="s">
        <v>16</v>
      </c>
      <c r="M6" s="54" t="s">
        <v>17</v>
      </c>
      <c r="N6" s="54" t="s">
        <v>18</v>
      </c>
      <c r="O6" s="54" t="s">
        <v>19</v>
      </c>
      <c r="P6" s="54" t="s">
        <v>20</v>
      </c>
      <c r="Q6" s="54" t="s">
        <v>21</v>
      </c>
      <c r="R6" s="54" t="s">
        <v>22</v>
      </c>
      <c r="S6" s="68"/>
      <c r="T6" s="68"/>
      <c r="U6" s="61" t="s">
        <v>13</v>
      </c>
      <c r="V6" s="54" t="s">
        <v>16</v>
      </c>
      <c r="W6" s="54" t="s">
        <v>17</v>
      </c>
      <c r="X6" s="54" t="s">
        <v>18</v>
      </c>
      <c r="Y6" s="54" t="s">
        <v>19</v>
      </c>
      <c r="Z6" s="54" t="s">
        <v>20</v>
      </c>
      <c r="AA6" s="54" t="s">
        <v>21</v>
      </c>
      <c r="AB6" s="54" t="s">
        <v>22</v>
      </c>
    </row>
    <row r="7" s="1" customFormat="1" ht="24" customHeight="1" spans="1:28">
      <c r="A7" s="18" t="s">
        <v>23</v>
      </c>
      <c r="B7" s="19"/>
      <c r="C7" s="20">
        <v>7500</v>
      </c>
      <c r="D7" s="20">
        <v>6000</v>
      </c>
      <c r="E7" s="21">
        <v>1500</v>
      </c>
      <c r="F7" s="20">
        <v>38</v>
      </c>
      <c r="G7" s="20">
        <v>13.2</v>
      </c>
      <c r="H7" s="20">
        <f>I7+S7</f>
        <v>183700</v>
      </c>
      <c r="I7" s="20">
        <f>J7+K7</f>
        <v>164500</v>
      </c>
      <c r="J7" s="20">
        <v>116000</v>
      </c>
      <c r="K7" s="20">
        <v>48500</v>
      </c>
      <c r="L7" s="20">
        <f>48500/17*10-0.01</f>
        <v>28529.4</v>
      </c>
      <c r="M7" s="20">
        <f>48500/17*1</f>
        <v>2852.94</v>
      </c>
      <c r="N7" s="20">
        <f>48500/17*1</f>
        <v>2852.94</v>
      </c>
      <c r="O7" s="20">
        <f>K7/17*1</f>
        <v>2852.94</v>
      </c>
      <c r="P7" s="20">
        <f>K7/17*1</f>
        <v>2852.94</v>
      </c>
      <c r="Q7" s="20">
        <f>4279.42</f>
        <v>4279.42</v>
      </c>
      <c r="R7" s="20">
        <f>4279.42</f>
        <v>4279.42</v>
      </c>
      <c r="S7" s="20">
        <f>SUM(T7:U7)</f>
        <v>19200</v>
      </c>
      <c r="T7" s="20">
        <v>15800</v>
      </c>
      <c r="U7" s="69">
        <f>SUM(V7:AB7)</f>
        <v>3400</v>
      </c>
      <c r="V7" s="70">
        <f>2000</f>
        <v>2000</v>
      </c>
      <c r="W7" s="70">
        <f>3400/17*1</f>
        <v>200</v>
      </c>
      <c r="X7" s="70">
        <f>3400/17*1</f>
        <v>200</v>
      </c>
      <c r="Y7" s="70">
        <f>3400/17*1</f>
        <v>200</v>
      </c>
      <c r="Z7" s="70">
        <f>3400/17*1</f>
        <v>200</v>
      </c>
      <c r="AA7" s="77">
        <f>3400/17*1.5</f>
        <v>300</v>
      </c>
      <c r="AB7" s="77">
        <f>3400/17*1.5</f>
        <v>300</v>
      </c>
    </row>
    <row r="8" s="2" customFormat="1" ht="24" hidden="1" customHeight="1" spans="1:28">
      <c r="A8" s="22" t="s">
        <v>24</v>
      </c>
      <c r="B8" s="23"/>
      <c r="C8" s="24"/>
      <c r="D8" s="24"/>
      <c r="E8" s="25"/>
      <c r="F8" s="24"/>
      <c r="G8" s="24"/>
      <c r="H8" s="24"/>
      <c r="I8" s="24"/>
      <c r="J8" s="24"/>
      <c r="K8" s="55">
        <f>37*0.17*7509.01</f>
        <v>47231.67</v>
      </c>
      <c r="L8" s="56">
        <f>37*0.17/17*10*7509.01</f>
        <v>27783.34</v>
      </c>
      <c r="M8" s="56">
        <f>37*0.17/17*1*7509.01</f>
        <v>2778.33</v>
      </c>
      <c r="N8" s="56">
        <f>37*0.17/17*1*7509.01</f>
        <v>2778.33</v>
      </c>
      <c r="O8" s="56">
        <f>37*0.17/17*1*7509.01</f>
        <v>2778.33</v>
      </c>
      <c r="P8" s="56">
        <f>37*0.17/17*1*7509.01</f>
        <v>2778.33</v>
      </c>
      <c r="Q8" s="56">
        <f>37*0.17/17*1.5*7509.01</f>
        <v>4167.5</v>
      </c>
      <c r="R8" s="56">
        <f>37*0.17/17*1.5*7509.01</f>
        <v>4167.5</v>
      </c>
      <c r="S8" s="24">
        <f>U8+T27</f>
        <v>18896.66</v>
      </c>
      <c r="T8" s="24">
        <f>12.4*0.8*1469</f>
        <v>14572.48</v>
      </c>
      <c r="U8" s="55">
        <f>SUM(V8:AB8)</f>
        <v>3096.66</v>
      </c>
      <c r="V8" s="71">
        <f>12.4*0.17/17*10*1469</f>
        <v>1821.56</v>
      </c>
      <c r="W8" s="71">
        <f>12.4*0.17/17*1*1469</f>
        <v>182.16</v>
      </c>
      <c r="X8" s="71">
        <f t="shared" ref="X8:Z8" si="0">12.4*0.17/17*1*1469</f>
        <v>182.16</v>
      </c>
      <c r="Y8" s="71">
        <f t="shared" si="0"/>
        <v>182.16</v>
      </c>
      <c r="Z8" s="71">
        <f t="shared" si="0"/>
        <v>182.16</v>
      </c>
      <c r="AA8" s="71">
        <f>12.4*0.17/17*1.5*1469</f>
        <v>273.23</v>
      </c>
      <c r="AB8" s="71">
        <f>12.4*0.17/17*1.5*1469</f>
        <v>273.23</v>
      </c>
    </row>
    <row r="9" s="2" customFormat="1" ht="9" customHeight="1" spans="1:28">
      <c r="A9" s="22"/>
      <c r="B9" s="26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3"/>
    </row>
    <row r="10" ht="33.75" customHeight="1" spans="1:28">
      <c r="A10" s="27" t="s">
        <v>25</v>
      </c>
      <c r="B10" s="28"/>
      <c r="C10" s="29"/>
      <c r="D10" s="29"/>
      <c r="E10" s="29"/>
      <c r="F10" s="29"/>
      <c r="G10" s="29"/>
      <c r="H10" s="30">
        <f>I10+S10</f>
        <v>42741.16</v>
      </c>
      <c r="I10" s="32">
        <f>J10+K10</f>
        <v>39941.16</v>
      </c>
      <c r="J10" s="57"/>
      <c r="K10" s="32">
        <f>SUM(L10:R10)</f>
        <v>39941.16</v>
      </c>
      <c r="L10" s="32">
        <f t="shared" ref="L10:P10" si="1">L7</f>
        <v>28529.4</v>
      </c>
      <c r="M10" s="32">
        <f t="shared" si="1"/>
        <v>2852.94</v>
      </c>
      <c r="N10" s="32">
        <f t="shared" si="1"/>
        <v>2852.94</v>
      </c>
      <c r="O10" s="32">
        <f t="shared" si="1"/>
        <v>2852.94</v>
      </c>
      <c r="P10" s="32">
        <f t="shared" si="1"/>
        <v>2852.94</v>
      </c>
      <c r="Q10" s="32"/>
      <c r="R10" s="32"/>
      <c r="S10" s="32">
        <f>T10+U10</f>
        <v>2800</v>
      </c>
      <c r="T10" s="32"/>
      <c r="U10" s="32">
        <f>SUM(V10:AB10)</f>
        <v>2800</v>
      </c>
      <c r="V10" s="72">
        <f t="shared" ref="V10:Z10" si="2">V7</f>
        <v>2000</v>
      </c>
      <c r="W10" s="72">
        <f t="shared" si="2"/>
        <v>200</v>
      </c>
      <c r="X10" s="72">
        <f t="shared" si="2"/>
        <v>200</v>
      </c>
      <c r="Y10" s="72">
        <f t="shared" si="2"/>
        <v>200</v>
      </c>
      <c r="Z10" s="72">
        <f t="shared" si="2"/>
        <v>200</v>
      </c>
      <c r="AA10" s="32"/>
      <c r="AB10" s="32"/>
    </row>
    <row r="11" ht="37.5" customHeight="1" spans="1:28">
      <c r="A11" s="27" t="s">
        <v>26</v>
      </c>
      <c r="B11" s="28"/>
      <c r="C11" s="31">
        <f>SUM(C16:C26)</f>
        <v>5906.76</v>
      </c>
      <c r="D11" s="31">
        <f>C11-E11</f>
        <v>4437.76</v>
      </c>
      <c r="E11" s="32">
        <f>SUM(E17:E19)</f>
        <v>1469</v>
      </c>
      <c r="F11" s="29"/>
      <c r="G11" s="29"/>
      <c r="H11" s="30">
        <f>I11+S11</f>
        <v>3445.98</v>
      </c>
      <c r="I11" s="32">
        <f>J11+K11</f>
        <v>3145.98</v>
      </c>
      <c r="J11" s="32"/>
      <c r="K11" s="32">
        <f>SUM(L11:R11)</f>
        <v>3145.98</v>
      </c>
      <c r="L11" s="32"/>
      <c r="M11" s="32"/>
      <c r="N11" s="32"/>
      <c r="O11" s="32"/>
      <c r="P11" s="32"/>
      <c r="Q11" s="32">
        <f>Q7*D11/D27</f>
        <v>3145.98</v>
      </c>
      <c r="R11" s="32"/>
      <c r="S11" s="32">
        <f t="shared" ref="S11:S19" si="3">T11+U11</f>
        <v>300</v>
      </c>
      <c r="T11" s="32"/>
      <c r="U11" s="32">
        <f t="shared" ref="U11:U19" si="4">SUM(V11:AB11)</f>
        <v>300</v>
      </c>
      <c r="V11" s="29"/>
      <c r="W11" s="29"/>
      <c r="X11" s="29"/>
      <c r="Y11" s="29"/>
      <c r="Z11" s="29"/>
      <c r="AA11" s="72">
        <f>AA7*E11/E27</f>
        <v>300</v>
      </c>
      <c r="AB11" s="29"/>
    </row>
    <row r="12" ht="37.5" customHeight="1" spans="1:28">
      <c r="A12" s="27" t="s">
        <v>27</v>
      </c>
      <c r="B12" s="28"/>
      <c r="C12" s="31">
        <f>C13+C14+C15</f>
        <v>1598.84</v>
      </c>
      <c r="D12" s="31">
        <f t="shared" ref="D12:D26" si="5">C12-E12</f>
        <v>1598.84</v>
      </c>
      <c r="E12" s="29"/>
      <c r="F12" s="29"/>
      <c r="G12" s="29"/>
      <c r="H12" s="30">
        <f t="shared" ref="H12:H26" si="6">I12+S12</f>
        <v>1133.44</v>
      </c>
      <c r="I12" s="32">
        <f t="shared" ref="I12:I26" si="7">J12+K12</f>
        <v>1133.44</v>
      </c>
      <c r="J12" s="32"/>
      <c r="K12" s="32">
        <f t="shared" ref="K12:K26" si="8">SUM(L12:R12)</f>
        <v>1133.44</v>
      </c>
      <c r="L12" s="32"/>
      <c r="M12" s="32"/>
      <c r="N12" s="32"/>
      <c r="O12" s="32"/>
      <c r="P12" s="32"/>
      <c r="Q12" s="32">
        <f>Q7*D12/D27</f>
        <v>1133.44</v>
      </c>
      <c r="R12" s="32"/>
      <c r="S12" s="32"/>
      <c r="T12" s="32"/>
      <c r="U12" s="32"/>
      <c r="V12" s="29"/>
      <c r="W12" s="29"/>
      <c r="X12" s="29"/>
      <c r="Y12" s="29"/>
      <c r="Z12" s="29"/>
      <c r="AA12" s="72"/>
      <c r="AB12" s="29"/>
    </row>
    <row r="13" ht="20.25" spans="1:28">
      <c r="A13" s="33" t="s">
        <v>27</v>
      </c>
      <c r="B13" s="34" t="s">
        <v>28</v>
      </c>
      <c r="C13" s="31">
        <v>1355.09</v>
      </c>
      <c r="D13" s="31">
        <f t="shared" si="5"/>
        <v>1355.09</v>
      </c>
      <c r="E13" s="29"/>
      <c r="F13" s="35">
        <v>38</v>
      </c>
      <c r="G13" s="36">
        <v>13.2</v>
      </c>
      <c r="H13" s="30">
        <f t="shared" si="6"/>
        <v>27000.21</v>
      </c>
      <c r="I13" s="32">
        <f t="shared" si="7"/>
        <v>27000.21</v>
      </c>
      <c r="J13" s="31">
        <f>J$7*D13/D$27</f>
        <v>26039.57</v>
      </c>
      <c r="K13" s="32">
        <f t="shared" si="8"/>
        <v>960.64</v>
      </c>
      <c r="L13" s="32"/>
      <c r="M13" s="32"/>
      <c r="N13" s="32"/>
      <c r="O13" s="32"/>
      <c r="P13" s="32"/>
      <c r="Q13" s="32"/>
      <c r="R13" s="31">
        <f>$R$7*D13/$D$27</f>
        <v>960.64</v>
      </c>
      <c r="S13" s="32"/>
      <c r="T13" s="32"/>
      <c r="U13" s="32"/>
      <c r="V13" s="29"/>
      <c r="W13" s="29"/>
      <c r="X13" s="29"/>
      <c r="Y13" s="29"/>
      <c r="Z13" s="29"/>
      <c r="AA13" s="29"/>
      <c r="AB13" s="32"/>
    </row>
    <row r="14" ht="20.25" spans="1:28">
      <c r="A14" s="37"/>
      <c r="B14" s="34" t="s">
        <v>29</v>
      </c>
      <c r="C14" s="31">
        <v>241.95</v>
      </c>
      <c r="D14" s="31">
        <f t="shared" si="5"/>
        <v>241.95</v>
      </c>
      <c r="E14" s="29"/>
      <c r="F14" s="35">
        <v>38</v>
      </c>
      <c r="G14" s="36">
        <v>13.2</v>
      </c>
      <c r="H14" s="30">
        <f t="shared" si="6"/>
        <v>4820.86</v>
      </c>
      <c r="I14" s="32">
        <f t="shared" si="7"/>
        <v>4820.86</v>
      </c>
      <c r="J14" s="31">
        <f t="shared" ref="J14:J26" si="9">J$7*D14/D$27</f>
        <v>4649.34</v>
      </c>
      <c r="K14" s="32">
        <f t="shared" si="8"/>
        <v>171.52</v>
      </c>
      <c r="L14" s="32"/>
      <c r="M14" s="32"/>
      <c r="N14" s="32"/>
      <c r="O14" s="32"/>
      <c r="P14" s="32"/>
      <c r="Q14" s="32"/>
      <c r="R14" s="32">
        <f t="shared" ref="R14:R26" si="10">$R$7*D14/$D$27</f>
        <v>171.52</v>
      </c>
      <c r="S14" s="32"/>
      <c r="T14" s="32"/>
      <c r="U14" s="32"/>
      <c r="V14" s="29"/>
      <c r="W14" s="29"/>
      <c r="X14" s="29"/>
      <c r="Y14" s="29"/>
      <c r="Z14" s="29"/>
      <c r="AA14" s="29"/>
      <c r="AB14" s="32"/>
    </row>
    <row r="15" ht="20.25" spans="1:28">
      <c r="A15" s="37"/>
      <c r="B15" s="34" t="s">
        <v>30</v>
      </c>
      <c r="C15" s="31">
        <v>1.8</v>
      </c>
      <c r="D15" s="31">
        <f t="shared" si="5"/>
        <v>1.8</v>
      </c>
      <c r="E15" s="29"/>
      <c r="F15" s="35">
        <v>38</v>
      </c>
      <c r="G15" s="36">
        <v>13.2</v>
      </c>
      <c r="H15" s="30">
        <f t="shared" si="6"/>
        <v>35.87</v>
      </c>
      <c r="I15" s="32">
        <f t="shared" si="7"/>
        <v>35.87</v>
      </c>
      <c r="J15" s="31">
        <f t="shared" si="9"/>
        <v>34.59</v>
      </c>
      <c r="K15" s="32">
        <f t="shared" si="8"/>
        <v>1.28</v>
      </c>
      <c r="L15" s="32"/>
      <c r="M15" s="32"/>
      <c r="N15" s="32"/>
      <c r="O15" s="32"/>
      <c r="P15" s="32"/>
      <c r="Q15" s="32"/>
      <c r="R15" s="32">
        <f t="shared" si="10"/>
        <v>1.28</v>
      </c>
      <c r="S15" s="32"/>
      <c r="T15" s="32"/>
      <c r="U15" s="32"/>
      <c r="V15" s="29"/>
      <c r="W15" s="29"/>
      <c r="X15" s="29"/>
      <c r="Y15" s="29"/>
      <c r="Z15" s="29"/>
      <c r="AA15" s="29"/>
      <c r="AB15" s="32"/>
    </row>
    <row r="16" ht="20.25" spans="1:28">
      <c r="A16" s="37" t="s">
        <v>26</v>
      </c>
      <c r="B16" s="38" t="s">
        <v>31</v>
      </c>
      <c r="C16" s="31">
        <v>1709.64</v>
      </c>
      <c r="D16" s="31">
        <f t="shared" si="5"/>
        <v>1709.64</v>
      </c>
      <c r="E16" s="29"/>
      <c r="F16" s="35">
        <v>38</v>
      </c>
      <c r="G16" s="36">
        <v>13.2</v>
      </c>
      <c r="H16" s="30">
        <f t="shared" si="6"/>
        <v>34064.62</v>
      </c>
      <c r="I16" s="32">
        <f t="shared" si="7"/>
        <v>34064.62</v>
      </c>
      <c r="J16" s="31">
        <f t="shared" si="9"/>
        <v>32852.64</v>
      </c>
      <c r="K16" s="32">
        <f t="shared" si="8"/>
        <v>1211.98</v>
      </c>
      <c r="L16" s="32"/>
      <c r="M16" s="32"/>
      <c r="N16" s="32"/>
      <c r="O16" s="32"/>
      <c r="P16" s="32"/>
      <c r="Q16" s="32"/>
      <c r="R16" s="32">
        <f t="shared" si="10"/>
        <v>1211.98</v>
      </c>
      <c r="S16" s="32"/>
      <c r="T16" s="32"/>
      <c r="U16" s="32"/>
      <c r="V16" s="29"/>
      <c r="W16" s="29"/>
      <c r="X16" s="29"/>
      <c r="Y16" s="29"/>
      <c r="Z16" s="29"/>
      <c r="AA16" s="29"/>
      <c r="AB16" s="32"/>
    </row>
    <row r="17" ht="20.25" spans="1:28">
      <c r="A17" s="37"/>
      <c r="B17" s="38" t="s">
        <v>32</v>
      </c>
      <c r="C17" s="31">
        <v>1550.08</v>
      </c>
      <c r="D17" s="31">
        <f t="shared" si="5"/>
        <v>852.3</v>
      </c>
      <c r="E17" s="32">
        <v>697.78</v>
      </c>
      <c r="F17" s="35">
        <v>38</v>
      </c>
      <c r="G17" s="36">
        <v>13.2</v>
      </c>
      <c r="H17" s="30">
        <f t="shared" si="6"/>
        <v>24629.65</v>
      </c>
      <c r="I17" s="32">
        <f t="shared" si="7"/>
        <v>16982.1</v>
      </c>
      <c r="J17" s="31">
        <f t="shared" si="9"/>
        <v>16377.89</v>
      </c>
      <c r="K17" s="32">
        <f t="shared" si="8"/>
        <v>604.21</v>
      </c>
      <c r="L17" s="32"/>
      <c r="M17" s="32"/>
      <c r="N17" s="32"/>
      <c r="O17" s="32"/>
      <c r="P17" s="32"/>
      <c r="Q17" s="32"/>
      <c r="R17" s="32">
        <f t="shared" si="10"/>
        <v>604.21</v>
      </c>
      <c r="S17" s="32">
        <f t="shared" si="3"/>
        <v>7647.55</v>
      </c>
      <c r="T17" s="73">
        <f>T$7*E17/E$27</f>
        <v>7505.05</v>
      </c>
      <c r="U17" s="32">
        <f t="shared" si="4"/>
        <v>142.5</v>
      </c>
      <c r="V17" s="29"/>
      <c r="W17" s="29"/>
      <c r="X17" s="29"/>
      <c r="Y17" s="29"/>
      <c r="Z17" s="29"/>
      <c r="AA17" s="29"/>
      <c r="AB17" s="32">
        <f>300*E17/E27</f>
        <v>142.5</v>
      </c>
    </row>
    <row r="18" ht="20.25" spans="1:28">
      <c r="A18" s="37"/>
      <c r="B18" s="38" t="s">
        <v>33</v>
      </c>
      <c r="C18" s="31">
        <v>486.27</v>
      </c>
      <c r="D18" s="31">
        <f t="shared" si="5"/>
        <v>8.82</v>
      </c>
      <c r="E18" s="32">
        <v>477.45</v>
      </c>
      <c r="F18" s="35">
        <v>38</v>
      </c>
      <c r="G18" s="36">
        <v>13.2</v>
      </c>
      <c r="H18" s="30">
        <f t="shared" si="6"/>
        <v>5408.52</v>
      </c>
      <c r="I18" s="32">
        <f t="shared" si="7"/>
        <v>175.74</v>
      </c>
      <c r="J18" s="31">
        <f t="shared" si="9"/>
        <v>169.49</v>
      </c>
      <c r="K18" s="32">
        <f t="shared" si="8"/>
        <v>6.25</v>
      </c>
      <c r="L18" s="32"/>
      <c r="M18" s="32"/>
      <c r="N18" s="32"/>
      <c r="O18" s="32"/>
      <c r="P18" s="32"/>
      <c r="Q18" s="32"/>
      <c r="R18" s="32">
        <f t="shared" si="10"/>
        <v>6.25</v>
      </c>
      <c r="S18" s="32">
        <f t="shared" si="3"/>
        <v>5232.78</v>
      </c>
      <c r="T18" s="73">
        <f t="shared" ref="T18:T19" si="11">T$7*E18/E$27</f>
        <v>5135.27</v>
      </c>
      <c r="U18" s="32">
        <f t="shared" si="4"/>
        <v>97.51</v>
      </c>
      <c r="V18" s="29"/>
      <c r="W18" s="29"/>
      <c r="X18" s="29"/>
      <c r="Y18" s="29"/>
      <c r="Z18" s="29"/>
      <c r="AA18" s="29"/>
      <c r="AB18" s="32">
        <f>300*E18/E27</f>
        <v>97.51</v>
      </c>
    </row>
    <row r="19" ht="20.25" spans="1:28">
      <c r="A19" s="37"/>
      <c r="B19" s="38" t="s">
        <v>34</v>
      </c>
      <c r="C19" s="31">
        <v>529.36</v>
      </c>
      <c r="D19" s="31">
        <f t="shared" si="5"/>
        <v>235.59</v>
      </c>
      <c r="E19" s="32">
        <v>293.77</v>
      </c>
      <c r="F19" s="35">
        <v>38</v>
      </c>
      <c r="G19" s="36">
        <v>13.2</v>
      </c>
      <c r="H19" s="30">
        <f t="shared" si="6"/>
        <v>7913.8</v>
      </c>
      <c r="I19" s="31">
        <f t="shared" si="7"/>
        <v>4694.13</v>
      </c>
      <c r="J19" s="31">
        <f t="shared" si="9"/>
        <v>4527.12</v>
      </c>
      <c r="K19" s="31">
        <f t="shared" si="8"/>
        <v>167.01</v>
      </c>
      <c r="L19" s="32"/>
      <c r="M19" s="32"/>
      <c r="N19" s="32"/>
      <c r="O19" s="32"/>
      <c r="P19" s="32"/>
      <c r="Q19" s="32"/>
      <c r="R19" s="32">
        <f t="shared" si="10"/>
        <v>167.01</v>
      </c>
      <c r="S19" s="31">
        <f t="shared" si="3"/>
        <v>3219.67</v>
      </c>
      <c r="T19" s="73">
        <f t="shared" si="11"/>
        <v>3159.68</v>
      </c>
      <c r="U19" s="32">
        <f t="shared" si="4"/>
        <v>59.99</v>
      </c>
      <c r="V19" s="29"/>
      <c r="W19" s="29"/>
      <c r="X19" s="29"/>
      <c r="Y19" s="29"/>
      <c r="Z19" s="29"/>
      <c r="AA19" s="29"/>
      <c r="AB19" s="32">
        <f>300*E19/E27</f>
        <v>59.99</v>
      </c>
    </row>
    <row r="20" ht="20.25" spans="1:28">
      <c r="A20" s="37"/>
      <c r="B20" s="38" t="s">
        <v>35</v>
      </c>
      <c r="C20" s="31">
        <v>308.75</v>
      </c>
      <c r="D20" s="31">
        <f t="shared" si="5"/>
        <v>308.75</v>
      </c>
      <c r="E20" s="29"/>
      <c r="F20" s="35">
        <v>38</v>
      </c>
      <c r="G20" s="36">
        <v>13.2</v>
      </c>
      <c r="H20" s="30">
        <f t="shared" si="6"/>
        <v>6151.86</v>
      </c>
      <c r="I20" s="32">
        <f t="shared" si="7"/>
        <v>6151.86</v>
      </c>
      <c r="J20" s="31">
        <f t="shared" si="9"/>
        <v>5932.98</v>
      </c>
      <c r="K20" s="32">
        <f t="shared" si="8"/>
        <v>218.88</v>
      </c>
      <c r="L20" s="32"/>
      <c r="M20" s="32"/>
      <c r="N20" s="32"/>
      <c r="O20" s="32"/>
      <c r="P20" s="32"/>
      <c r="Q20" s="32"/>
      <c r="R20" s="32">
        <f t="shared" si="10"/>
        <v>218.88</v>
      </c>
      <c r="S20" s="32"/>
      <c r="T20" s="32"/>
      <c r="U20" s="32"/>
      <c r="V20" s="29"/>
      <c r="W20" s="29"/>
      <c r="X20" s="29"/>
      <c r="Y20" s="29"/>
      <c r="Z20" s="29"/>
      <c r="AA20" s="29"/>
      <c r="AB20" s="32"/>
    </row>
    <row r="21" ht="20.25" spans="1:28">
      <c r="A21" s="37"/>
      <c r="B21" s="38" t="s">
        <v>36</v>
      </c>
      <c r="C21" s="31">
        <v>289.79</v>
      </c>
      <c r="D21" s="31">
        <f t="shared" si="5"/>
        <v>289.79</v>
      </c>
      <c r="E21" s="29"/>
      <c r="F21" s="35">
        <v>38</v>
      </c>
      <c r="G21" s="36">
        <v>13.2</v>
      </c>
      <c r="H21" s="30">
        <f t="shared" si="6"/>
        <v>5774.08</v>
      </c>
      <c r="I21" s="32">
        <f t="shared" si="7"/>
        <v>5774.08</v>
      </c>
      <c r="J21" s="31">
        <f t="shared" si="9"/>
        <v>5568.64</v>
      </c>
      <c r="K21" s="32">
        <f t="shared" si="8"/>
        <v>205.44</v>
      </c>
      <c r="L21" s="32"/>
      <c r="M21" s="32"/>
      <c r="N21" s="32"/>
      <c r="O21" s="32"/>
      <c r="P21" s="32"/>
      <c r="Q21" s="32"/>
      <c r="R21" s="32">
        <f t="shared" si="10"/>
        <v>205.44</v>
      </c>
      <c r="S21" s="32"/>
      <c r="T21" s="32"/>
      <c r="U21" s="32"/>
      <c r="V21" s="29"/>
      <c r="W21" s="29"/>
      <c r="X21" s="29"/>
      <c r="Y21" s="29"/>
      <c r="Z21" s="29"/>
      <c r="AA21" s="29"/>
      <c r="AB21" s="32"/>
    </row>
    <row r="22" ht="20.25" spans="1:28">
      <c r="A22" s="37"/>
      <c r="B22" s="38" t="s">
        <v>37</v>
      </c>
      <c r="C22" s="31">
        <v>722.17</v>
      </c>
      <c r="D22" s="31">
        <f t="shared" si="5"/>
        <v>722.17</v>
      </c>
      <c r="E22" s="29"/>
      <c r="F22" s="35">
        <v>38</v>
      </c>
      <c r="G22" s="36">
        <v>13.2</v>
      </c>
      <c r="H22" s="30">
        <f t="shared" si="6"/>
        <v>14389.26</v>
      </c>
      <c r="I22" s="32">
        <f t="shared" si="7"/>
        <v>14389.26</v>
      </c>
      <c r="J22" s="31">
        <f t="shared" si="9"/>
        <v>13877.3</v>
      </c>
      <c r="K22" s="32">
        <f t="shared" si="8"/>
        <v>511.96</v>
      </c>
      <c r="L22" s="32"/>
      <c r="M22" s="32"/>
      <c r="N22" s="32"/>
      <c r="O22" s="32"/>
      <c r="P22" s="32"/>
      <c r="Q22" s="32"/>
      <c r="R22" s="32">
        <f t="shared" si="10"/>
        <v>511.96</v>
      </c>
      <c r="S22" s="32"/>
      <c r="T22" s="32"/>
      <c r="U22" s="32"/>
      <c r="V22" s="29"/>
      <c r="W22" s="29"/>
      <c r="X22" s="29"/>
      <c r="Y22" s="29"/>
      <c r="Z22" s="29"/>
      <c r="AA22" s="29"/>
      <c r="AB22" s="32"/>
    </row>
    <row r="23" ht="20.25" spans="1:28">
      <c r="A23" s="37"/>
      <c r="B23" s="38" t="s">
        <v>38</v>
      </c>
      <c r="C23" s="31">
        <v>52.8</v>
      </c>
      <c r="D23" s="31">
        <f t="shared" si="5"/>
        <v>52.8</v>
      </c>
      <c r="E23" s="29"/>
      <c r="F23" s="35">
        <v>38</v>
      </c>
      <c r="G23" s="36">
        <v>13.2</v>
      </c>
      <c r="H23" s="30">
        <f t="shared" si="6"/>
        <v>1052.04</v>
      </c>
      <c r="I23" s="32">
        <f t="shared" si="7"/>
        <v>1052.04</v>
      </c>
      <c r="J23" s="31">
        <f t="shared" si="9"/>
        <v>1014.61</v>
      </c>
      <c r="K23" s="31">
        <f t="shared" si="8"/>
        <v>37.43</v>
      </c>
      <c r="L23" s="32"/>
      <c r="M23" s="32"/>
      <c r="N23" s="32"/>
      <c r="O23" s="32"/>
      <c r="P23" s="32"/>
      <c r="Q23" s="32"/>
      <c r="R23" s="32">
        <f t="shared" si="10"/>
        <v>37.43</v>
      </c>
      <c r="S23" s="32"/>
      <c r="T23" s="32"/>
      <c r="U23" s="32"/>
      <c r="V23" s="29"/>
      <c r="W23" s="29"/>
      <c r="X23" s="29"/>
      <c r="Y23" s="29"/>
      <c r="Z23" s="29"/>
      <c r="AA23" s="29"/>
      <c r="AB23" s="32"/>
    </row>
    <row r="24" ht="20.25" spans="1:28">
      <c r="A24" s="37"/>
      <c r="B24" s="38" t="s">
        <v>39</v>
      </c>
      <c r="C24" s="31">
        <v>54.89</v>
      </c>
      <c r="D24" s="31">
        <f t="shared" si="5"/>
        <v>54.89</v>
      </c>
      <c r="E24" s="29"/>
      <c r="F24" s="35">
        <v>38</v>
      </c>
      <c r="G24" s="36">
        <v>13.2</v>
      </c>
      <c r="H24" s="30">
        <f t="shared" si="6"/>
        <v>1093.68</v>
      </c>
      <c r="I24" s="32">
        <f t="shared" si="7"/>
        <v>1093.68</v>
      </c>
      <c r="J24" s="31">
        <f t="shared" si="9"/>
        <v>1054.77</v>
      </c>
      <c r="K24" s="31">
        <f t="shared" si="8"/>
        <v>38.91</v>
      </c>
      <c r="L24" s="32"/>
      <c r="M24" s="32"/>
      <c r="N24" s="32"/>
      <c r="O24" s="32"/>
      <c r="P24" s="32"/>
      <c r="Q24" s="32"/>
      <c r="R24" s="32">
        <f t="shared" si="10"/>
        <v>38.91</v>
      </c>
      <c r="S24" s="32"/>
      <c r="T24" s="32"/>
      <c r="U24" s="32"/>
      <c r="V24" s="29"/>
      <c r="W24" s="29"/>
      <c r="X24" s="29"/>
      <c r="Y24" s="29"/>
      <c r="Z24" s="29"/>
      <c r="AA24" s="29"/>
      <c r="AB24" s="32"/>
    </row>
    <row r="25" ht="20.25" spans="1:28">
      <c r="A25" s="37"/>
      <c r="B25" s="34" t="s">
        <v>40</v>
      </c>
      <c r="C25" s="31">
        <v>103.19</v>
      </c>
      <c r="D25" s="31">
        <f t="shared" si="5"/>
        <v>103.19</v>
      </c>
      <c r="E25" s="29"/>
      <c r="F25" s="35">
        <v>38</v>
      </c>
      <c r="G25" s="36">
        <v>13.2</v>
      </c>
      <c r="H25" s="30">
        <f t="shared" si="6"/>
        <v>2056.06</v>
      </c>
      <c r="I25" s="32">
        <f t="shared" si="7"/>
        <v>2056.06</v>
      </c>
      <c r="J25" s="31">
        <f t="shared" si="9"/>
        <v>1982.91</v>
      </c>
      <c r="K25" s="31">
        <f t="shared" si="8"/>
        <v>73.15</v>
      </c>
      <c r="L25" s="32"/>
      <c r="M25" s="32"/>
      <c r="N25" s="32"/>
      <c r="O25" s="32"/>
      <c r="P25" s="32"/>
      <c r="Q25" s="32"/>
      <c r="R25" s="32">
        <f t="shared" si="10"/>
        <v>73.15</v>
      </c>
      <c r="S25" s="32"/>
      <c r="T25" s="32"/>
      <c r="U25" s="32"/>
      <c r="V25" s="29"/>
      <c r="W25" s="29"/>
      <c r="X25" s="29"/>
      <c r="Y25" s="29"/>
      <c r="Z25" s="29"/>
      <c r="AA25" s="29"/>
      <c r="AB25" s="32"/>
    </row>
    <row r="26" ht="20.25" spans="1:28">
      <c r="A26" s="37"/>
      <c r="B26" s="34" t="s">
        <v>41</v>
      </c>
      <c r="C26" s="31">
        <v>99.82</v>
      </c>
      <c r="D26" s="31">
        <f t="shared" si="5"/>
        <v>99.82</v>
      </c>
      <c r="E26" s="29"/>
      <c r="F26" s="35">
        <v>38</v>
      </c>
      <c r="G26" s="36">
        <v>13.2</v>
      </c>
      <c r="H26" s="30">
        <f t="shared" si="6"/>
        <v>1988.91</v>
      </c>
      <c r="I26" s="32">
        <f t="shared" si="7"/>
        <v>1988.91</v>
      </c>
      <c r="J26" s="31">
        <f t="shared" si="9"/>
        <v>1918.15</v>
      </c>
      <c r="K26" s="32">
        <f t="shared" si="8"/>
        <v>70.76</v>
      </c>
      <c r="L26" s="29"/>
      <c r="M26" s="29"/>
      <c r="N26" s="29"/>
      <c r="O26" s="29"/>
      <c r="P26" s="29"/>
      <c r="Q26" s="29"/>
      <c r="R26" s="32">
        <f t="shared" si="10"/>
        <v>70.76</v>
      </c>
      <c r="S26" s="32"/>
      <c r="T26" s="32"/>
      <c r="U26" s="32"/>
      <c r="V26" s="29"/>
      <c r="W26" s="29"/>
      <c r="X26" s="29"/>
      <c r="Y26" s="29"/>
      <c r="Z26" s="29"/>
      <c r="AA26" s="29"/>
      <c r="AB26" s="32"/>
    </row>
    <row r="27" ht="18.75" spans="1:28">
      <c r="A27" s="39" t="s">
        <v>42</v>
      </c>
      <c r="B27" s="39"/>
      <c r="C27" s="40">
        <f>SUM(C13:C26)</f>
        <v>7505.6</v>
      </c>
      <c r="D27" s="31">
        <f>SUM(D13:D26)</f>
        <v>6036.6</v>
      </c>
      <c r="E27" s="32">
        <f>SUM(E13:E26)</f>
        <v>1469</v>
      </c>
      <c r="F27" s="32"/>
      <c r="G27" s="32"/>
      <c r="H27" s="32">
        <v>183700</v>
      </c>
      <c r="I27" s="32">
        <f>SUM(I10:I26)</f>
        <v>164500</v>
      </c>
      <c r="J27" s="31">
        <f>SUM(J13:J26)</f>
        <v>116000</v>
      </c>
      <c r="K27" s="32">
        <f>SUM(K10:K26)</f>
        <v>48500</v>
      </c>
      <c r="L27" s="32">
        <f>L10</f>
        <v>28529.4</v>
      </c>
      <c r="M27" s="32">
        <f t="shared" ref="M27:P27" si="12">M10</f>
        <v>2852.94</v>
      </c>
      <c r="N27" s="32">
        <f t="shared" si="12"/>
        <v>2852.94</v>
      </c>
      <c r="O27" s="32">
        <f t="shared" si="12"/>
        <v>2852.94</v>
      </c>
      <c r="P27" s="32">
        <f t="shared" si="12"/>
        <v>2852.94</v>
      </c>
      <c r="Q27" s="32">
        <f>SUM(Q11:Q26)</f>
        <v>4279.42</v>
      </c>
      <c r="R27" s="32">
        <f>SUM(R11:R26)</f>
        <v>4279.42</v>
      </c>
      <c r="S27" s="32">
        <f t="shared" ref="S27:T27" si="13">SUM(S10:S26)</f>
        <v>19200</v>
      </c>
      <c r="T27" s="32">
        <f t="shared" si="13"/>
        <v>15800</v>
      </c>
      <c r="U27" s="32">
        <f t="shared" ref="U27:AB27" si="14">SUM(U10:U26)</f>
        <v>3400</v>
      </c>
      <c r="V27" s="32">
        <f t="shared" si="14"/>
        <v>2000</v>
      </c>
      <c r="W27" s="32">
        <f t="shared" si="14"/>
        <v>200</v>
      </c>
      <c r="X27" s="32">
        <f t="shared" si="14"/>
        <v>200</v>
      </c>
      <c r="Y27" s="32">
        <f t="shared" si="14"/>
        <v>200</v>
      </c>
      <c r="Z27" s="32">
        <f t="shared" si="14"/>
        <v>200</v>
      </c>
      <c r="AA27" s="32">
        <f t="shared" si="14"/>
        <v>300</v>
      </c>
      <c r="AB27" s="32">
        <f t="shared" si="14"/>
        <v>300</v>
      </c>
    </row>
    <row r="28" ht="25.5" customHeight="1" spans="1:28">
      <c r="A28" s="41" t="s">
        <v>43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78"/>
    </row>
    <row r="29" ht="23.25" customHeight="1" spans="1:28">
      <c r="A29" s="43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79"/>
    </row>
    <row r="30" ht="21" customHeight="1" spans="1:28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79"/>
    </row>
    <row r="31" ht="82.5" customHeight="1" spans="1:28">
      <c r="A31" s="45"/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80"/>
    </row>
    <row r="32" ht="24.95" customHeight="1" spans="7:14">
      <c r="G32" s="47"/>
      <c r="H32" s="48"/>
      <c r="I32" s="49"/>
      <c r="J32" s="49"/>
      <c r="K32" s="49"/>
      <c r="L32" s="47"/>
      <c r="M32" s="49"/>
      <c r="N32" s="58"/>
    </row>
    <row r="33" ht="24.95" customHeight="1" spans="7:14">
      <c r="G33" s="49"/>
      <c r="H33" s="48"/>
      <c r="I33" s="49"/>
      <c r="J33" s="49"/>
      <c r="K33" s="49"/>
      <c r="L33" s="49"/>
      <c r="M33" s="49"/>
      <c r="N33" s="58"/>
    </row>
    <row r="34" ht="24.95" customHeight="1" spans="7:14">
      <c r="G34" s="49"/>
      <c r="H34" s="48"/>
      <c r="I34" s="49"/>
      <c r="J34" s="49"/>
      <c r="K34" s="49"/>
      <c r="L34" s="49"/>
      <c r="M34" s="49"/>
      <c r="N34" s="58"/>
    </row>
    <row r="35" ht="24.95" customHeight="1" spans="7:14">
      <c r="G35" s="49"/>
      <c r="H35" s="48"/>
      <c r="I35" s="59"/>
      <c r="J35" s="59"/>
      <c r="K35" s="49"/>
      <c r="L35" s="49"/>
      <c r="M35" s="49"/>
      <c r="N35" s="58"/>
    </row>
    <row r="36" ht="24.95" customHeight="1" spans="7:14">
      <c r="G36" s="49"/>
      <c r="H36" s="48"/>
      <c r="I36" s="49"/>
      <c r="J36" s="49"/>
      <c r="K36" s="49"/>
      <c r="L36" s="49"/>
      <c r="M36" s="49"/>
      <c r="N36" s="58"/>
    </row>
    <row r="37" ht="24.95" customHeight="1" spans="7:14">
      <c r="G37" s="49"/>
      <c r="H37" s="48"/>
      <c r="I37" s="49"/>
      <c r="J37" s="49"/>
      <c r="K37" s="49"/>
      <c r="L37" s="49"/>
      <c r="M37" s="49"/>
      <c r="N37" s="58"/>
    </row>
    <row r="38" ht="24.95" customHeight="1" spans="7:14">
      <c r="G38" s="49"/>
      <c r="H38" s="48"/>
      <c r="I38" s="49"/>
      <c r="J38" s="49"/>
      <c r="K38" s="49"/>
      <c r="L38" s="49"/>
      <c r="M38" s="49"/>
      <c r="N38" s="58"/>
    </row>
    <row r="39" ht="24.95" customHeight="1" spans="7:14">
      <c r="G39" s="49"/>
      <c r="H39" s="48"/>
      <c r="I39" s="49"/>
      <c r="J39" s="49"/>
      <c r="K39" s="49"/>
      <c r="L39" s="49"/>
      <c r="M39" s="49"/>
      <c r="N39" s="58"/>
    </row>
    <row r="40" ht="24.95" customHeight="1" spans="7:14">
      <c r="G40" s="49"/>
      <c r="H40" s="48"/>
      <c r="I40" s="49"/>
      <c r="J40" s="49"/>
      <c r="K40" s="49"/>
      <c r="L40" s="49"/>
      <c r="M40" s="49"/>
      <c r="N40" s="58"/>
    </row>
    <row r="41" ht="24.95" customHeight="1" spans="7:14">
      <c r="G41" s="49"/>
      <c r="H41" s="48"/>
      <c r="I41" s="49"/>
      <c r="J41" s="49"/>
      <c r="K41" s="49"/>
      <c r="L41" s="49"/>
      <c r="M41" s="49"/>
      <c r="N41" s="58"/>
    </row>
    <row r="42" ht="24.95" customHeight="1" spans="7:14">
      <c r="G42" s="49"/>
      <c r="H42" s="48"/>
      <c r="I42" s="49"/>
      <c r="J42" s="49"/>
      <c r="K42" s="49"/>
      <c r="L42" s="49"/>
      <c r="M42" s="49"/>
      <c r="N42" s="58"/>
    </row>
    <row r="43" ht="24.95" customHeight="1" spans="7:14">
      <c r="G43" s="49"/>
      <c r="H43" s="48"/>
      <c r="I43" s="49"/>
      <c r="J43" s="49"/>
      <c r="K43" s="49"/>
      <c r="L43" s="49"/>
      <c r="M43" s="49"/>
      <c r="N43" s="58"/>
    </row>
    <row r="44" ht="24.95" customHeight="1" spans="7:14">
      <c r="G44" s="49"/>
      <c r="H44" s="48"/>
      <c r="I44" s="49"/>
      <c r="J44" s="49"/>
      <c r="K44" s="49"/>
      <c r="L44" s="49"/>
      <c r="M44" s="49"/>
      <c r="N44" s="58"/>
    </row>
    <row r="45" ht="24.95" customHeight="1" spans="7:14">
      <c r="G45" s="49"/>
      <c r="H45" s="48"/>
      <c r="I45" s="49"/>
      <c r="J45" s="49"/>
      <c r="K45" s="49"/>
      <c r="L45" s="49"/>
      <c r="M45" s="49"/>
      <c r="N45" s="58"/>
    </row>
    <row r="46" ht="24.95" customHeight="1" spans="7:14">
      <c r="G46" s="49"/>
      <c r="H46" s="48"/>
      <c r="I46" s="49"/>
      <c r="J46" s="49"/>
      <c r="K46" s="49"/>
      <c r="L46" s="49"/>
      <c r="M46" s="49"/>
      <c r="N46" s="58"/>
    </row>
    <row r="47" ht="24.95" customHeight="1" spans="7:14">
      <c r="G47" s="49"/>
      <c r="H47" s="48"/>
      <c r="I47" s="49"/>
      <c r="J47" s="49"/>
      <c r="K47" s="49"/>
      <c r="L47" s="49"/>
      <c r="M47" s="49"/>
      <c r="N47" s="58"/>
    </row>
    <row r="48" ht="24.95" customHeight="1" spans="7:14">
      <c r="G48" s="49"/>
      <c r="H48" s="48"/>
      <c r="I48" s="49"/>
      <c r="J48" s="49"/>
      <c r="K48" s="49"/>
      <c r="L48" s="49"/>
      <c r="M48" s="49"/>
      <c r="N48" s="58"/>
    </row>
    <row r="49" ht="33.75" customHeight="1" spans="7:14">
      <c r="G49" s="49"/>
      <c r="H49" s="48"/>
      <c r="I49" s="49"/>
      <c r="J49" s="49"/>
      <c r="K49" s="49"/>
      <c r="L49" s="49"/>
      <c r="M49" s="49"/>
      <c r="N49" s="49"/>
    </row>
  </sheetData>
  <mergeCells count="28">
    <mergeCell ref="A1:AB1"/>
    <mergeCell ref="A2:AB2"/>
    <mergeCell ref="D3:E3"/>
    <mergeCell ref="F3:G3"/>
    <mergeCell ref="I3:R3"/>
    <mergeCell ref="S3:AB3"/>
    <mergeCell ref="A7:B7"/>
    <mergeCell ref="A8:B8"/>
    <mergeCell ref="A9:AB9"/>
    <mergeCell ref="A10:B10"/>
    <mergeCell ref="A11:B11"/>
    <mergeCell ref="A12:B12"/>
    <mergeCell ref="A13:A15"/>
    <mergeCell ref="A16:A26"/>
    <mergeCell ref="C3:C6"/>
    <mergeCell ref="D4:D6"/>
    <mergeCell ref="E4:E6"/>
    <mergeCell ref="F4:F6"/>
    <mergeCell ref="G4:G6"/>
    <mergeCell ref="H3:H6"/>
    <mergeCell ref="I4:I6"/>
    <mergeCell ref="J4:J6"/>
    <mergeCell ref="S4:S6"/>
    <mergeCell ref="T4:T6"/>
    <mergeCell ref="A28:AB31"/>
    <mergeCell ref="A3:B6"/>
    <mergeCell ref="K4:R5"/>
    <mergeCell ref="U4:AB5"/>
  </mergeCells>
  <pageMargins left="0.393700787401575" right="0.393700787401575" top="0.748031496062992" bottom="0.748031496062992" header="0.31496062992126" footer="0.31496062992126"/>
  <pageSetup paperSize="8" scale="53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K17" sqref="K17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2022年省级以上生态公益林效益补偿资金分配明细表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司徒惠琳(UE000847)</dc:creator>
  <cp:lastModifiedBy>嫣然雪</cp:lastModifiedBy>
  <dcterms:created xsi:type="dcterms:W3CDTF">2021-01-29T00:51:00Z</dcterms:created>
  <cp:lastPrinted>2022-12-28T01:44:00Z</cp:lastPrinted>
  <dcterms:modified xsi:type="dcterms:W3CDTF">2023-01-31T09:50:29Z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E549636BA5E645BBA80B1BF8005438A5</vt:lpwstr>
  </property>
  <property fmtid="{D5CDD505-2E9C-101B-9397-08002B2CF9AE}" pid="3" name="KSOProductBuildVer">
    <vt:lpwstr>2052-11.1.0.12980</vt:lpwstr>
  </property>
</Properties>
</file>